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O0uTwSBDd1JrP+QzXsQQcs6+sgzFWSGIYTkeWsFX1m7InB8rFR/je0P17Vp/mzGINf2LiaEBWazm7/yQYTIvKQ==" workbookSaltValue="hQIMXEXQWWun8j/+sWLy+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V17" i="16"/>
  <c r="BV25" i="16"/>
  <c r="BW11" i="20"/>
  <c r="S21" i="17"/>
  <c r="BW28" i="20"/>
  <c r="BU18" i="17"/>
  <c r="BV29" i="16"/>
  <c r="S11" i="17"/>
  <c r="BU17" i="17"/>
  <c r="BV20" i="16"/>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H21" i="2" l="1"/>
  <c r="AY14" i="8"/>
  <c r="F14" i="7"/>
  <c r="BD12" i="8"/>
  <c r="V9" i="16"/>
  <c r="AA9" i="16"/>
  <c r="L21" i="2"/>
  <c r="AA11" i="16"/>
  <c r="L20" i="2"/>
  <c r="L18" i="2"/>
  <c r="X19" i="16"/>
  <c r="L17" i="2"/>
  <c r="L16" i="2"/>
  <c r="L29" i="2"/>
  <c r="L22"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S25" i="17"/>
  <c r="AA29" i="16"/>
  <c r="BV9" i="16"/>
  <c r="BU12" i="17"/>
  <c r="BW21" i="20"/>
  <c r="BV22" i="16"/>
  <c r="BU13" i="17"/>
  <c r="BW10" i="20"/>
  <c r="BU19" i="17"/>
  <c r="BU9" i="17"/>
  <c r="X21" i="16"/>
  <c r="BW17" i="20"/>
  <c r="BU21" i="17"/>
  <c r="BU11" i="17"/>
  <c r="BJ28" i="11"/>
  <c r="AZ9" i="11"/>
  <c r="AZ14" i="11" s="1"/>
  <c r="AZ13" i="11"/>
  <c r="BI19" i="11"/>
  <c r="BI25" i="11"/>
  <c r="BG22" i="11"/>
  <c r="Q18" i="20"/>
  <c r="Q23" i="20" s="1"/>
  <c r="V16" i="11"/>
  <c r="BG16" i="8"/>
  <c r="Z14" i="17"/>
  <c r="BF17" i="8"/>
  <c r="B16" i="6"/>
  <c r="BW22" i="20"/>
  <c r="BV10" i="16"/>
  <c r="BW29" i="20"/>
  <c r="U10" i="17"/>
  <c r="BU20" i="17"/>
  <c r="BW16" i="20"/>
  <c r="BV11" i="16"/>
  <c r="BU29" i="17"/>
  <c r="BV21" i="16"/>
  <c r="BW13" i="20"/>
  <c r="BV13" i="16"/>
  <c r="BV28" i="16"/>
  <c r="BU25" i="17"/>
  <c r="BG21" i="11"/>
  <c r="AP18" i="20"/>
  <c r="AP26" i="21"/>
  <c r="BG19" i="11"/>
  <c r="V20" i="11"/>
  <c r="AP16" i="20"/>
  <c r="BJ16" i="11"/>
  <c r="V9" i="11"/>
  <c r="BM12" i="11"/>
  <c r="V11" i="11"/>
  <c r="BK29" i="11"/>
  <c r="BG20" i="11"/>
  <c r="BF28" i="11"/>
  <c r="BH16" i="16"/>
  <c r="BF13" i="11"/>
  <c r="BH9"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<sst xmlns="http://schemas.openxmlformats.org/spreadsheetml/2006/main" count="2682" uniqueCount="1193">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</sst>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6fZ+7h0Bb1a+v2W+2D2nRZ9W5eh/Hk2Jr9IK89AtcKgwF6ZEaeQ7ZhL40hrl+iMbPuTDAIglx19U+0xtefX6A==" saltValue="Y83vFmVbRn5jWHuG4g+T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7</v>
      </c>
      <c r="F10" s="240">
        <f>IF(ISNUMBER(Datos!K10),Datos!K10," - ")</f>
        <v>18</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-0.91666666666666663</v>
      </c>
      <c r="L10" s="1402">
        <f>IF(ISNUMBER(NºAsuntos!I10/NºAsuntos!G10),(NºAsuntos!I10/NºAsuntos!G10)*11," - ")</f>
        <v>0.61111111111111105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12.942660550458715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7</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542</v>
      </c>
      <c r="D17" s="239">
        <f>IF(ISNUMBER(IF(D_I="SI",Datos!I17,Datos!I17+Datos!AC17)),IF(D_I="SI",Datos!I17,Datos!I17+Datos!AC17)," - ")</f>
        <v>520</v>
      </c>
      <c r="E17" s="240">
        <f>IF(ISNUMBER(IF(D_I="SI",Datos!J17,Datos!J17+Datos!AD17)),IF(D_I="SI",Datos!J17,Datos!J17+Datos!AD17)," - ")</f>
        <v>1303</v>
      </c>
      <c r="F17" s="240">
        <f>IF(ISNUMBER(IF(D_I="SI",Datos!K17,Datos!K17+Datos!AE17)),IF(D_I="SI",Datos!K17,Datos!K17+Datos!AE17)," - ")</f>
        <v>1143</v>
      </c>
      <c r="G17" s="1390" t="str">
        <f>IF(Datos!E17&lt;&gt;"",Datos!E17,Datos!D17)</f>
        <v>04</v>
      </c>
      <c r="H17" s="241">
        <f>IF(ISNUMBER(IF(D_I="SI",Datos!L17,Datos!L17+Datos!AF17)),IF(D_I="SI",Datos!L17,Datos!L17+Datos!AF17)," - ")</f>
        <v>702</v>
      </c>
      <c r="I17" s="1400" t="str">
        <f>IF(ISNUMBER(Datos!AS17/Datos!BM17),Datos!AS17/Datos!BM17," - ")</f>
        <v xml:space="preserve"> - </v>
      </c>
      <c r="J17" s="1401">
        <f>IF(ISNUMBER(Datos!BY17/Datos!CN17),Datos!BY17/Datos!CN17," - ")</f>
        <v>0</v>
      </c>
      <c r="K17" s="244">
        <f t="shared" si="3"/>
        <v>0.29520295202952029</v>
      </c>
      <c r="L17" s="1402">
        <f>IF(ISNUMBER(NºAsuntos!I17/NºAsuntos!G17),(NºAsuntos!I17/NºAsuntos!G17)*11," - ")</f>
        <v>6.7559055118110241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69</v>
      </c>
      <c r="F18" s="240">
        <f>IF(ISNUMBER(IF(D_I="SI",Datos!K18,Datos!K18+Datos!AE18)),IF(D_I="SI",Datos!K18,Datos!K18+Datos!AE18)," - ")</f>
        <v>58</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0.6875</v>
      </c>
      <c r="L18" s="1402">
        <f>IF(ISNUMBER(NºAsuntos!I18/NºAsuntos!G18),(NºAsuntos!I18/NºAsuntos!G18)*11," - ")</f>
        <v>5.1206896551724137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558</v>
      </c>
      <c r="D23" s="1407">
        <f>SUBTOTAL(9,D16:D22)</f>
        <v>536</v>
      </c>
      <c r="E23" s="1408">
        <f>SUBTOTAL(9,E16:E22)</f>
        <v>1372</v>
      </c>
      <c r="F23" s="1408">
        <f>SUBTOTAL(9,F16:F22)</f>
        <v>1201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570</v>
      </c>
      <c r="D31" s="1435">
        <f>SUBTOTAL(9,D9:D30)</f>
        <v>548</v>
      </c>
      <c r="E31" s="1436">
        <f>SUBTOTAL(9,E9:E30)</f>
        <v>1379</v>
      </c>
      <c r="F31" s="1436">
        <f>SUBTOTAL(9,F9:F30)</f>
        <v>1219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1u8IBBiR2WoIYviP0hP5+pz5pJsE6mGAgt9ffPNZ9eNYdxTJAnT+zTtvR2sBJJeRkSi/YU5HtmjFk0E3NRmAAA==" saltValue="A43ltkXsWpvS19+Ns0rID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Ial9F1GlFUPdMu83Jsd+ITP5bDqiwmNmRt1tkBnjzde97kaCQr8oXd5cj7SE3rXCIutjHNwaYYOLAoVErts/Q==" saltValue="0nmwwZCIaOAYpV9sbzmz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7</v>
      </c>
      <c r="K10" s="194">
        <v>18</v>
      </c>
      <c r="L10" s="194">
        <v>1</v>
      </c>
      <c r="M10" s="194">
        <v>4</v>
      </c>
      <c r="N10" s="194">
        <v>0</v>
      </c>
      <c r="O10" s="194">
        <v>0</v>
      </c>
      <c r="P10" s="194">
        <v>0</v>
      </c>
      <c r="Q10" s="194">
        <v>0</v>
      </c>
      <c r="R10" s="194">
        <v>0</v>
      </c>
      <c r="S10" s="194">
        <v>8</v>
      </c>
      <c r="T10" s="194">
        <v>4</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4</v>
      </c>
      <c r="BA10" s="139">
        <f t="shared" si="0"/>
        <v>0</v>
      </c>
      <c r="BB10" s="139">
        <f t="shared" si="0"/>
        <v>12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717</v>
      </c>
      <c r="J12" s="196">
        <v>1095</v>
      </c>
      <c r="K12" s="196">
        <v>801</v>
      </c>
      <c r="L12" s="196">
        <v>992</v>
      </c>
      <c r="M12" s="196">
        <v>216</v>
      </c>
      <c r="N12" s="196">
        <v>249</v>
      </c>
      <c r="O12" s="194">
        <v>379</v>
      </c>
      <c r="P12" s="196">
        <v>237</v>
      </c>
      <c r="Q12" s="196">
        <v>164</v>
      </c>
      <c r="R12" s="196">
        <v>1575</v>
      </c>
      <c r="S12" s="196">
        <v>655</v>
      </c>
      <c r="T12" s="196">
        <v>890</v>
      </c>
      <c r="U12" s="196">
        <v>833</v>
      </c>
      <c r="V12" s="196">
        <v>717</v>
      </c>
      <c r="W12" s="196">
        <v>261</v>
      </c>
      <c r="X12" s="202">
        <v>328</v>
      </c>
      <c r="Y12" s="204">
        <v>40</v>
      </c>
      <c r="Z12" s="194">
        <v>65</v>
      </c>
      <c r="AA12" s="194">
        <v>71</v>
      </c>
      <c r="AB12" s="194">
        <v>34</v>
      </c>
      <c r="AC12" s="196">
        <v>0</v>
      </c>
      <c r="AD12" s="196">
        <v>0</v>
      </c>
      <c r="AE12" s="196">
        <v>0</v>
      </c>
      <c r="AF12" s="202">
        <v>0</v>
      </c>
      <c r="AG12" s="215">
        <v>60</v>
      </c>
      <c r="AH12" s="196">
        <v>142</v>
      </c>
      <c r="AI12" s="196">
        <v>129</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715</v>
      </c>
      <c r="AZ12" s="137">
        <f t="shared" si="1"/>
        <v>1032</v>
      </c>
      <c r="BA12" s="137">
        <f t="shared" si="1"/>
        <v>962</v>
      </c>
      <c r="BB12" s="137">
        <f t="shared" si="1"/>
        <v>757</v>
      </c>
      <c r="BC12" s="135">
        <f>IF(ISNUMBER(X12),X12," - ")</f>
        <v>328</v>
      </c>
      <c r="BD12" s="136">
        <f t="shared" si="2"/>
        <v>0.93217054263565891</v>
      </c>
      <c r="BE12" s="137">
        <f t="shared" si="3"/>
        <v>0.78690228690228692</v>
      </c>
      <c r="BF12" s="137">
        <f t="shared" si="4"/>
        <v>0.34095634095634098</v>
      </c>
      <c r="BG12" s="209">
        <f t="shared" si="5"/>
        <v>1.816008316008316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729</v>
      </c>
      <c r="J14" s="197">
        <f t="shared" si="7"/>
        <v>1102</v>
      </c>
      <c r="K14" s="197">
        <f t="shared" si="7"/>
        <v>819</v>
      </c>
      <c r="L14" s="197">
        <f t="shared" si="7"/>
        <v>993</v>
      </c>
      <c r="M14" s="197">
        <f t="shared" si="7"/>
        <v>220</v>
      </c>
      <c r="N14" s="197">
        <f t="shared" si="7"/>
        <v>249</v>
      </c>
      <c r="O14" s="197">
        <f t="shared" si="7"/>
        <v>379</v>
      </c>
      <c r="P14" s="197">
        <f t="shared" si="7"/>
        <v>237</v>
      </c>
      <c r="Q14" s="197">
        <f t="shared" si="7"/>
        <v>164</v>
      </c>
      <c r="R14" s="197">
        <f t="shared" si="7"/>
        <v>1575</v>
      </c>
      <c r="S14" s="197">
        <f t="shared" si="7"/>
        <v>663</v>
      </c>
      <c r="T14" s="197">
        <f t="shared" si="7"/>
        <v>894</v>
      </c>
      <c r="U14" s="197">
        <f t="shared" si="7"/>
        <v>833</v>
      </c>
      <c r="V14" s="197">
        <f t="shared" si="7"/>
        <v>729</v>
      </c>
      <c r="W14" s="197">
        <f t="shared" si="7"/>
        <v>261</v>
      </c>
      <c r="X14" s="197">
        <f t="shared" si="7"/>
        <v>328</v>
      </c>
      <c r="Y14" s="197">
        <f t="shared" si="7"/>
        <v>40</v>
      </c>
      <c r="Z14" s="197">
        <f t="shared" si="7"/>
        <v>65</v>
      </c>
      <c r="AA14" s="197">
        <f t="shared" si="7"/>
        <v>71</v>
      </c>
      <c r="AB14" s="197">
        <f t="shared" si="7"/>
        <v>34</v>
      </c>
      <c r="AC14" s="197">
        <f t="shared" si="7"/>
        <v>0</v>
      </c>
      <c r="AD14" s="197">
        <f t="shared" si="7"/>
        <v>0</v>
      </c>
      <c r="AE14" s="197">
        <f t="shared" si="7"/>
        <v>0</v>
      </c>
      <c r="AF14" s="197">
        <f>SUBTOTAL(9,AF9:AF13)</f>
        <v>0</v>
      </c>
      <c r="AG14" s="197">
        <f t="shared" ref="AG14:AT14" si="8">SUBTOTAL(9,AG8:AG13)</f>
        <v>60</v>
      </c>
      <c r="AH14" s="197">
        <f t="shared" si="8"/>
        <v>142</v>
      </c>
      <c r="AI14" s="197">
        <f t="shared" si="8"/>
        <v>129</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723</v>
      </c>
      <c r="AZ14" s="197">
        <f>SUBTOTAL(9,AZ8:AZ13)</f>
        <v>1036</v>
      </c>
      <c r="BA14" s="197">
        <f>SUBTOTAL(9,BA8:BA13)</f>
        <v>962</v>
      </c>
      <c r="BB14" s="197">
        <f>SUBTOTAL(9,BB8:BB13)</f>
        <v>769</v>
      </c>
      <c r="BC14" s="197">
        <f>SUBTOTAL(9,BC8:BC13)</f>
        <v>328</v>
      </c>
      <c r="BD14" s="219">
        <f>IF(ISNUMBER(BA14/AZ14),BA14/AZ14," - ")</f>
        <v>0.9285714285714286</v>
      </c>
      <c r="BE14" s="220">
        <f>IF(ISNUMBER(BB14/BA14),BB14/BA14, " - ")</f>
        <v>0.79937629937629939</v>
      </c>
      <c r="BF14" s="220">
        <f>IF(ISNUMBER(BC14/BA14),BC14/BA14, " - ")</f>
        <v>0.34095634095634098</v>
      </c>
      <c r="BG14" s="221">
        <f>IF(ISNUMBER((AY14+AZ14)/BA14),(AY14+AZ14)/BA14," - ")</f>
        <v>1.8284823284823284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520</v>
      </c>
      <c r="J17" s="196">
        <v>1303</v>
      </c>
      <c r="K17" s="196">
        <v>1143</v>
      </c>
      <c r="L17" s="196">
        <v>702</v>
      </c>
      <c r="M17" s="196">
        <v>210</v>
      </c>
      <c r="N17" s="196">
        <v>748</v>
      </c>
      <c r="O17" s="194">
        <v>12</v>
      </c>
      <c r="P17" s="196">
        <v>54</v>
      </c>
      <c r="Q17" s="196">
        <v>59</v>
      </c>
      <c r="R17" s="196">
        <v>78</v>
      </c>
      <c r="S17" s="196">
        <v>367</v>
      </c>
      <c r="T17" s="196">
        <v>1149</v>
      </c>
      <c r="U17" s="196">
        <v>1046</v>
      </c>
      <c r="V17" s="196">
        <v>520</v>
      </c>
      <c r="W17" s="196">
        <v>189</v>
      </c>
      <c r="X17" s="202">
        <v>553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367</v>
      </c>
      <c r="AZ17" s="137">
        <f t="shared" si="10"/>
        <v>1149</v>
      </c>
      <c r="BA17" s="137">
        <f t="shared" si="10"/>
        <v>1046</v>
      </c>
      <c r="BB17" s="137">
        <f t="shared" si="10"/>
        <v>520</v>
      </c>
      <c r="BC17" s="135">
        <f>IF(ISNUMBER(W17),W17," - ")</f>
        <v>189</v>
      </c>
      <c r="BD17" s="136">
        <f t="shared" ref="BD17:BD22" si="12">IF(ISNUMBER(BA17/AZ17),BA17/AZ17," - ")</f>
        <v>0.91035683202785034</v>
      </c>
      <c r="BE17" s="137">
        <f t="shared" ref="BE17:BE22" si="13">IF(ISNUMBER(BB17/BA17),BB17/BA17, " - ")</f>
        <v>0.49713193116634802</v>
      </c>
      <c r="BF17" s="137">
        <f t="shared" ref="BF17:BF22" si="14">IF(ISNUMBER(BC17/BA17),BC17/BA17, " - ")</f>
        <v>0.18068833652007649</v>
      </c>
      <c r="BG17" s="209">
        <f t="shared" si="11"/>
        <v>1.4493307839388145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69</v>
      </c>
      <c r="K18" s="196">
        <v>58</v>
      </c>
      <c r="L18" s="196">
        <v>27</v>
      </c>
      <c r="M18" s="196">
        <v>4</v>
      </c>
      <c r="N18" s="196">
        <v>47</v>
      </c>
      <c r="O18" s="196">
        <v>0</v>
      </c>
      <c r="P18" s="196">
        <v>0</v>
      </c>
      <c r="Q18" s="196">
        <v>0</v>
      </c>
      <c r="R18" s="196">
        <v>0</v>
      </c>
      <c r="S18" s="196">
        <v>45</v>
      </c>
      <c r="T18" s="196">
        <v>72</v>
      </c>
      <c r="U18" s="196">
        <v>101</v>
      </c>
      <c r="V18" s="196">
        <v>16</v>
      </c>
      <c r="W18" s="196">
        <v>16</v>
      </c>
      <c r="X18" s="202">
        <v>82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72</v>
      </c>
      <c r="BA18" s="139">
        <f t="shared" si="15"/>
        <v>101</v>
      </c>
      <c r="BB18" s="139">
        <f t="shared" si="15"/>
        <v>16</v>
      </c>
      <c r="BC18" s="135">
        <f>IF(ISNUMBER(W18),W18," - ")</f>
        <v>16</v>
      </c>
      <c r="BD18" s="136">
        <f>IF(ISNUMBER(BA18/AZ18),BA18/AZ18," - ")</f>
        <v>1.4027777777777777</v>
      </c>
      <c r="BE18" s="137">
        <f>IF(ISNUMBER(BB18/BA18),BB18/BA18, " - ")</f>
        <v>0.15841584158415842</v>
      </c>
      <c r="BF18" s="137">
        <f>IF(ISNUMBER(BC18/BA18),BC18/BA18, " - ")</f>
        <v>0.15841584158415842</v>
      </c>
      <c r="BG18" s="209">
        <f>IF(ISNUMBER((AY18+AZ18)/BA18),(AY18+AZ18)/BA18," - ")</f>
        <v>1.1584158415841583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536</v>
      </c>
      <c r="J23" s="197">
        <f t="shared" si="21"/>
        <v>1372</v>
      </c>
      <c r="K23" s="197">
        <f t="shared" si="21"/>
        <v>1201</v>
      </c>
      <c r="L23" s="197">
        <f t="shared" si="21"/>
        <v>729</v>
      </c>
      <c r="M23" s="197">
        <f t="shared" si="21"/>
        <v>214</v>
      </c>
      <c r="N23" s="197">
        <f t="shared" si="21"/>
        <v>795</v>
      </c>
      <c r="O23" s="197">
        <f t="shared" si="21"/>
        <v>12</v>
      </c>
      <c r="P23" s="197">
        <f t="shared" si="21"/>
        <v>54</v>
      </c>
      <c r="Q23" s="197">
        <f t="shared" si="21"/>
        <v>59</v>
      </c>
      <c r="R23" s="197">
        <f t="shared" si="21"/>
        <v>78</v>
      </c>
      <c r="S23" s="197">
        <f t="shared" si="21"/>
        <v>412</v>
      </c>
      <c r="T23" s="197">
        <f t="shared" si="21"/>
        <v>1221</v>
      </c>
      <c r="U23" s="197">
        <f t="shared" si="21"/>
        <v>1147</v>
      </c>
      <c r="V23" s="197">
        <f t="shared" si="21"/>
        <v>536</v>
      </c>
      <c r="W23" s="197">
        <f t="shared" si="21"/>
        <v>205</v>
      </c>
      <c r="X23" s="197">
        <f t="shared" si="21"/>
        <v>635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412</v>
      </c>
      <c r="AZ23" s="197">
        <f>SUBTOTAL(9,AZ15:AZ22)</f>
        <v>1221</v>
      </c>
      <c r="BA23" s="197">
        <f>SUBTOTAL(9,BA15:BA22)</f>
        <v>1147</v>
      </c>
      <c r="BB23" s="197">
        <f>SUBTOTAL(9,BB15:BB22)</f>
        <v>536</v>
      </c>
      <c r="BC23" s="197">
        <f>SUBTOTAL(9,BC15:BC22)</f>
        <v>205</v>
      </c>
      <c r="BD23" s="219">
        <f>IF(ISNUMBER(BA23/AZ23),BA23/AZ23," - ")</f>
        <v>0.93939393939393945</v>
      </c>
      <c r="BE23" s="220">
        <f>IF(ISNUMBER(BB23/BA23),BB23/BA23, " - ")</f>
        <v>0.46730601569311248</v>
      </c>
      <c r="BF23" s="220">
        <f>IF(ISNUMBER(BC23/BA23),BC23/BA23, " - ")</f>
        <v>0.17872711421098517</v>
      </c>
      <c r="BG23" s="221">
        <f>IF(ISNUMBER((AY23+AZ23)/BA23),(AY23+AZ23)/BA23," - ")</f>
        <v>1.4237140366172625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1265</v>
      </c>
      <c r="J31" s="144">
        <f t="shared" si="36"/>
        <v>2474</v>
      </c>
      <c r="K31" s="144">
        <f t="shared" si="36"/>
        <v>2020</v>
      </c>
      <c r="L31" s="144">
        <f t="shared" si="36"/>
        <v>1722</v>
      </c>
      <c r="M31" s="144">
        <f t="shared" si="36"/>
        <v>434</v>
      </c>
      <c r="N31" s="144">
        <f t="shared" si="36"/>
        <v>1044</v>
      </c>
      <c r="O31" s="144">
        <f t="shared" si="36"/>
        <v>391</v>
      </c>
      <c r="P31" s="144">
        <f t="shared" si="36"/>
        <v>291</v>
      </c>
      <c r="Q31" s="144">
        <f t="shared" si="36"/>
        <v>223</v>
      </c>
      <c r="R31" s="144">
        <f t="shared" si="36"/>
        <v>1653</v>
      </c>
      <c r="S31" s="144">
        <f t="shared" si="36"/>
        <v>1075</v>
      </c>
      <c r="T31" s="144">
        <f t="shared" si="36"/>
        <v>2115</v>
      </c>
      <c r="U31" s="144">
        <f t="shared" si="36"/>
        <v>1980</v>
      </c>
      <c r="V31" s="144">
        <f t="shared" si="36"/>
        <v>1265</v>
      </c>
      <c r="W31" s="144">
        <f t="shared" si="36"/>
        <v>466</v>
      </c>
      <c r="X31" s="144">
        <f t="shared" si="36"/>
        <v>963</v>
      </c>
      <c r="Y31" s="144">
        <f t="shared" si="36"/>
        <v>40</v>
      </c>
      <c r="Z31" s="144">
        <f t="shared" si="36"/>
        <v>65</v>
      </c>
      <c r="AA31" s="144">
        <f t="shared" si="36"/>
        <v>71</v>
      </c>
      <c r="AB31" s="144">
        <f t="shared" si="36"/>
        <v>34</v>
      </c>
      <c r="AC31" s="144">
        <f t="shared" si="36"/>
        <v>0</v>
      </c>
      <c r="AD31" s="144">
        <f t="shared" si="36"/>
        <v>0</v>
      </c>
      <c r="AE31" s="144">
        <f t="shared" si="36"/>
        <v>0</v>
      </c>
      <c r="AF31" s="144">
        <f t="shared" si="36"/>
        <v>0</v>
      </c>
      <c r="AG31" s="144">
        <f t="shared" si="36"/>
        <v>60</v>
      </c>
      <c r="AH31" s="144">
        <f t="shared" si="36"/>
        <v>142</v>
      </c>
      <c r="AI31" s="144">
        <f t="shared" si="36"/>
        <v>129</v>
      </c>
      <c r="AJ31" s="144">
        <f t="shared" si="36"/>
        <v>40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1135</v>
      </c>
      <c r="AZ31" s="144">
        <f>SUBTOTAL(9,AZ9:AZ30)</f>
        <v>2257</v>
      </c>
      <c r="BA31" s="144">
        <f>SUBTOTAL(9,BA9:BA30)</f>
        <v>2109</v>
      </c>
      <c r="BB31" s="144">
        <f>SUBTOTAL(9,BB9:BB30)</f>
        <v>1305</v>
      </c>
      <c r="BC31" s="145">
        <f>SUBTOTAL(9,BC9:BC30)</f>
        <v>533</v>
      </c>
      <c r="BD31" s="227">
        <f>IF(ISNUMBER(BA31/AZ31),BA31/AZ31," - ")</f>
        <v>0.93442622950819676</v>
      </c>
      <c r="BE31" s="224">
        <f>IF(ISNUMBER(BB31/BA31),BB31/BA31, " - ")</f>
        <v>0.61877667140825032</v>
      </c>
      <c r="BF31" s="224">
        <f>IF(ISNUMBER(BC31/BA31),BC31/BA31, " - ")</f>
        <v>0.25272641062114748</v>
      </c>
      <c r="BG31" s="145">
        <f>IF(ISNUMBER((AY31+AZ31)/BA31),(AY31+AZ31)/BA31," - ")</f>
        <v>1.6083451872925558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tPRySbCw3c8Fs3l1ra2oF4N42eNY7K0FEuDbp/KCaRAqXIDIgSlR1+zsmtWDi8kSHa4jA6uUWLiZ2pm34vJzg==" saltValue="bcdRFFm/aG1V5isi3Qgx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A9K7wmgtIN+ipcKtmo7Z+HoJ5TNmJBMvYT/TzgsOs6iyjCThw3skP29uUuiRU4Jn1cedixU79kq/qznSmrmfw==" saltValue="/TAdJXPb2yMoSfnRQ2Ks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BENAVENTE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2.5714285714285716</v>
      </c>
      <c r="BH10" s="764">
        <f>IF(ISNUMBER(((Datos!L10/Datos!K10)*11)/factor_trimestre),((Datos!L10/Datos!K10)*11)/factor_trimestre," - ")</f>
        <v>0.61111111111111105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65</v>
      </c>
      <c r="O12" s="549"/>
      <c r="P12" s="549"/>
      <c r="Q12" s="547">
        <f>IF(ISNUMBER(Datos!P12),Datos!P12,0)</f>
        <v>237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1575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216</v>
      </c>
      <c r="BD12" s="693">
        <f>IF(ISNUMBER(Datos!N12),Datos!N12," - ")</f>
        <v>249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0.75172413793103443</v>
      </c>
      <c r="BH12" s="764">
        <f>IF(ISNUMBER(((IF(J_V="SI",Datos!L12/Datos!K12,(Datos!L12+Datos!AB12)/(Datos!K12+Datos!AA12)))*11)/factor_trimestre),((IF(J_V="SI",Datos!L12/Datos!K12,(Datos!L12+Datos!AB12)/(Datos!K12+Datos!AA12)))*11)/factor_trimestre," - ")</f>
        <v>12.942660550458715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4.8601864181091879E-2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65</v>
      </c>
      <c r="O14" s="1199">
        <f t="shared" si="1"/>
        <v>0</v>
      </c>
      <c r="P14" s="1199">
        <f t="shared" si="1"/>
        <v>0</v>
      </c>
      <c r="Q14" s="1198">
        <f t="shared" si="1"/>
        <v>237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164</v>
      </c>
      <c r="AD14" s="1198">
        <f t="shared" si="2"/>
        <v>0</v>
      </c>
      <c r="AE14" s="1198">
        <f t="shared" si="2"/>
        <v>0</v>
      </c>
      <c r="AF14" s="1198">
        <f t="shared" si="2"/>
        <v>1</v>
      </c>
      <c r="AG14" s="1198">
        <f t="shared" si="2"/>
        <v>0</v>
      </c>
      <c r="AH14" s="1198">
        <f t="shared" si="2"/>
        <v>34</v>
      </c>
      <c r="AI14" s="1198">
        <f t="shared" si="2"/>
        <v>0</v>
      </c>
      <c r="AJ14" s="1198">
        <f t="shared" si="2"/>
        <v>0</v>
      </c>
      <c r="AK14" s="1198">
        <f t="shared" si="2"/>
        <v>0</v>
      </c>
      <c r="AL14" s="1198">
        <f t="shared" si="2"/>
        <v>0</v>
      </c>
      <c r="AM14" s="1198">
        <f t="shared" si="2"/>
        <v>1575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220</v>
      </c>
      <c r="BD14" s="1198">
        <f t="shared" si="2"/>
        <v>249</v>
      </c>
      <c r="BE14" s="1198">
        <f t="shared" si="2"/>
        <v>0</v>
      </c>
      <c r="BF14" s="1198">
        <f t="shared" si="2"/>
        <v>0</v>
      </c>
      <c r="BG14" s="1198">
        <f>IF(ISNUMBER(Datos!K14/Datos!J14),Datos!K14/Datos!J14," - ")</f>
        <v>0.74319419237749551</v>
      </c>
      <c r="BH14" s="1202">
        <f>IF(ISNUMBER(((Datos!L14/Datos!K14)*11)/factor_trimestre),((Datos!L14/Datos!K14)*11)/factor_trimestre," - ")</f>
        <v>13.336996336996336</v>
      </c>
      <c r="BI14" s="1198">
        <f>IF(ISNUMBER('Resol  Asuntos'!D14/NºAsuntos!G14),'Resol  Asuntos'!D14/NºAsuntos!G14," - ")</f>
        <v>0.24719101123595505</v>
      </c>
      <c r="BJ14" s="1198" t="str">
        <f>IF(ISNUMBER(Datos!CI14/Datos!CJ14),Datos!CI14/Datos!CJ14," - ")</f>
        <v xml:space="preserve"> - </v>
      </c>
      <c r="BK14" s="1198">
        <f>SUBTOTAL(9,BK8:BK13)</f>
        <v>0</v>
      </c>
      <c r="BL14" s="1198">
        <f>IF(ISNUMBER((I14-AB14+L14)/(F14)),(I14-AB14+L14)/(F14)," - ")</f>
        <v>-1.5</v>
      </c>
      <c r="BM14" s="1203">
        <f>SUBTOTAL(9,BM9:BM13)</f>
        <v>4.8601864181091879E-2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542</v>
      </c>
      <c r="G17" s="743">
        <f>IF(ISNUMBER(IF(D_I="SI",Datos!I17,Datos!I17+Datos!AC17)),IF(D_I="SI",Datos!I17,Datos!I17+Datos!AC17)," - ")</f>
        <v>520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1143</v>
      </c>
      <c r="AC17" s="240">
        <f>IF(ISNUMBER(Datos!Q17),Datos!Q17," - ")</f>
        <v>59</v>
      </c>
      <c r="AD17" s="374"/>
      <c r="AE17" s="562"/>
      <c r="AF17" s="741">
        <f>IF(ISNUMBER(IF(D_I="SI",Datos!L17,Datos!L17+Datos!AF17)),IF(D_I="SI",Datos!L17,Datos!L17+Datos!AF17)," - ")</f>
        <v>702</v>
      </c>
      <c r="AG17" s="374"/>
      <c r="AH17" s="374"/>
      <c r="AI17" s="374"/>
      <c r="AJ17" s="549"/>
      <c r="AK17" s="374"/>
      <c r="AL17" s="545"/>
      <c r="AM17" s="375">
        <f>IF(ISNUMBER(Datos!R17),Datos!R17," - ")</f>
        <v>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210</v>
      </c>
      <c r="BD17" s="243">
        <f>IF(ISNUMBER(Datos!N17),Datos!N17," - ")</f>
        <v>748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0.87720644666155023</v>
      </c>
      <c r="BH17" s="764">
        <f>IF(ISNUMBER(((IF(D_I="SI",Datos!L17/Datos!K17,(Datos!L17+Datos!AF17)/(Datos!K17+Datos!AE17)))*11)/factor_trimestre),((IF(D_I="SI",Datos!L17/Datos!K17,(Datos!L17+Datos!AF17)/(Datos!K17+Datos!AE17)))*11)/factor_trimestre," - ")</f>
        <v>6.7559055118110241</v>
      </c>
      <c r="BI17" s="266">
        <f>IF(ISNUMBER('Resol  Asuntos'!D17/NºAsuntos!G17),'Resol  Asuntos'!D17/NºAsuntos!G17," - ")</f>
        <v>0.18372703412073491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0.84057971014492749</v>
      </c>
      <c r="BH18" s="764">
        <f>IF(ISNUMBER(((IF(D_I="SI",Datos!L18/Datos!K18,(Datos!L18+Datos!AF18)/(Datos!K18+Datos!AE18)))*11)/factor_trimestre),((IF(D_I="SI",Datos!L18/Datos!K18,(Datos!L18+Datos!AF18)/(Datos!K18+Datos!AE18)))*11)/factor_trimestre," - ")</f>
        <v>5.1206896551724137</v>
      </c>
      <c r="BI18" s="763">
        <f>IF(ISNUMBER('Resol  Asuntos'!D18/NºAsuntos!G18),'Resol  Asuntos'!D18/NºAsuntos!G18," - ")</f>
        <v>6.8965517241379309E-2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542</v>
      </c>
      <c r="G23" s="1197">
        <f>SUBTOTAL(9,G16:G22)</f>
        <v>536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1201</v>
      </c>
      <c r="AC23" s="1198">
        <f t="shared" si="5"/>
        <v>59</v>
      </c>
      <c r="AD23" s="1198">
        <f t="shared" si="5"/>
        <v>0</v>
      </c>
      <c r="AE23" s="1198">
        <f t="shared" si="5"/>
        <v>0</v>
      </c>
      <c r="AF23" s="1198">
        <f t="shared" si="5"/>
        <v>729</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214</v>
      </c>
      <c r="BD23" s="1198">
        <f t="shared" si="5"/>
        <v>795</v>
      </c>
      <c r="BE23" s="1198">
        <f t="shared" si="5"/>
        <v>0</v>
      </c>
      <c r="BF23" s="1198">
        <f t="shared" si="5"/>
        <v>0</v>
      </c>
      <c r="BG23" s="1198">
        <f>IF(ISNUMBER(Datos!K23/Datos!J23),Datos!K23/Datos!J23," - ")</f>
        <v>0.87536443148688048</v>
      </c>
      <c r="BH23" s="1202">
        <f>IF(ISNUMBER(((Datos!L23/Datos!K23)*11)/factor_trimestre),((Datos!L23/Datos!K23)*11)/factor_trimestre," - ")</f>
        <v>6.6769358867610329</v>
      </c>
      <c r="BI23" s="1198">
        <f>SUBTOTAL(9,BI16:BI22)</f>
        <v>0.25269255136211421</v>
      </c>
      <c r="BJ23" s="1198">
        <f>SUBTOTAL(9,BJ16:BJ22)</f>
        <v>0</v>
      </c>
      <c r="BK23" s="1198">
        <f>SUBTOTAL(9,BK16:BK22)</f>
        <v>0</v>
      </c>
      <c r="BL23" s="1198">
        <f>IF(ISNUMBER((I23-AB23+L23)/(F23)),(I23-AB23+L23)/(F23)," - ")</f>
        <v>-2.2158671586715868</v>
      </c>
      <c r="BM23" s="1205">
        <f>IF(ISNUMBER((Datos!P23-Datos!Q23)/(Datos!R23-Datos!P23+Datos!Q23)),(Datos!P23-Datos!Q23)/(Datos!R23-Datos!P23+Datos!Q23)," - ")</f>
        <v>-6.0240963855421686E-2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554</v>
      </c>
      <c r="G31" s="1117">
        <f t="shared" si="18"/>
        <v>548</v>
      </c>
      <c r="H31" s="1119">
        <f t="shared" si="18"/>
        <v>0</v>
      </c>
      <c r="I31" s="1117">
        <f t="shared" si="18"/>
        <v>0</v>
      </c>
      <c r="J31" s="1119">
        <f t="shared" si="18"/>
        <v>0</v>
      </c>
      <c r="K31" s="1119">
        <f t="shared" si="18"/>
        <v>0</v>
      </c>
      <c r="L31" s="1180">
        <f t="shared" si="18"/>
        <v>0</v>
      </c>
      <c r="M31" s="1180">
        <f t="shared" si="18"/>
        <v>0</v>
      </c>
      <c r="N31" s="1180">
        <f t="shared" si="18"/>
        <v>65</v>
      </c>
      <c r="O31" s="1180">
        <f t="shared" si="18"/>
        <v>0</v>
      </c>
      <c r="P31" s="1180">
        <f t="shared" si="18"/>
        <v>0</v>
      </c>
      <c r="Q31" s="1119">
        <f t="shared" si="18"/>
        <v>291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1219</v>
      </c>
      <c r="AC31" s="1118">
        <f t="shared" si="19"/>
        <v>223</v>
      </c>
      <c r="AD31" s="1118">
        <f t="shared" si="19"/>
        <v>0</v>
      </c>
      <c r="AE31" s="1118">
        <f t="shared" si="19"/>
        <v>0</v>
      </c>
      <c r="AF31" s="1125">
        <f t="shared" si="19"/>
        <v>730</v>
      </c>
      <c r="AG31" s="1125">
        <f t="shared" si="19"/>
        <v>0</v>
      </c>
      <c r="AH31" s="1125">
        <f t="shared" si="19"/>
        <v>34</v>
      </c>
      <c r="AI31" s="1125">
        <f t="shared" si="19"/>
        <v>0</v>
      </c>
      <c r="AJ31" s="1118">
        <f t="shared" si="19"/>
        <v>0</v>
      </c>
      <c r="AK31" s="1125">
        <f t="shared" si="19"/>
        <v>0</v>
      </c>
      <c r="AL31" s="1125">
        <f t="shared" si="19"/>
        <v>0</v>
      </c>
      <c r="AM31" s="1125">
        <f t="shared" si="19"/>
        <v>1653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434</v>
      </c>
      <c r="BD31" s="1117">
        <f t="shared" si="19"/>
        <v>1044</v>
      </c>
      <c r="BE31" s="1117">
        <f t="shared" si="19"/>
        <v>0</v>
      </c>
      <c r="BF31" s="1127">
        <f t="shared" si="19"/>
        <v>0</v>
      </c>
      <c r="BG31" s="1223">
        <f>IF(ISNUMBER(Datos!K31/Datos!J31),Datos!K31/Datos!J31," - ")</f>
        <v>0.81649151172190781</v>
      </c>
      <c r="BH31" s="1223">
        <f>IF(ISNUMBER(((Datos!L31/Datos!K31)*11)/factor_trimestre),((Datos!L31/Datos!K31)*11)/factor_trimestre," - ")</f>
        <v>9.3772277227722771</v>
      </c>
      <c r="BI31" s="1103">
        <f>IF(ISNUMBER(Datos!J31/Datos!I31),Datos!J31/Datos!I31," - ")</f>
        <v>1.9557312252964427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-2.2003610108303251</v>
      </c>
      <c r="BM31" s="1188">
        <f>IF(ISNUMBER((Datos!P31-Datos!Q31+R31)/(Datos!R31-Datos!P31+Datos!Q31-R31)),(Datos!P31-Datos!Q31+R31)/(Datos!R31-Datos!P31+Datos!Q31-R31)," - ")</f>
        <v>4.2902208201892743E-2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276.84123006999278</v>
      </c>
      <c r="G33" s="674">
        <f>IF(ISNUMBER(STDEV(G8:G30)),STDEV(G8:G30),"-")</f>
        <v>253.84959926621718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563.28521913435475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113.89594248385548</v>
      </c>
      <c r="BD33" s="673"/>
      <c r="BE33" s="673">
        <f>IF(ISNUMBER(STDEV(BE8:BE30)),STDEV(BE8:BE30),"-")</f>
        <v>0</v>
      </c>
      <c r="BF33" s="678">
        <f>IF(ISNUMBER(STDEV(BF8:BF30)),STDEV(BF8:BF30),"-")</f>
        <v>0</v>
      </c>
      <c r="BG33" s="1052">
        <f>IF(ISNUMBER(STDEV(BG8:BG30)),STDEV(BG8:BG30),"-")</f>
        <v>0.71840316010184357</v>
      </c>
      <c r="BH33" s="1058">
        <f>IF(ISNUMBER(STDEV(BH8:BH30)),STDEV(BH8:BH30),"-")</f>
        <v>4.8581724714813559</v>
      </c>
      <c r="BI33" s="273">
        <f>IF(ISNUMBER(STDEV(BI8:BI30)),STDEV(BI8:BI30),"-")</f>
        <v>8.5393374760708948E-2</v>
      </c>
      <c r="BJ33" s="244" t="str">
        <f>IF(ISNUMBER(BL33/BM33),BL33/BM33," - ")</f>
        <v xml:space="preserve"> - </v>
      </c>
      <c r="BK33" s="709"/>
      <c r="BL33" s="681">
        <f>IF(ISNUMBER(STDEV(BL8:BL30)),STDEV(BL8:BL30),"-")</f>
        <v>0.50619452232542561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6X1Omz/XKqOGQt5C1Rqu9U3WxohLrz5lJFXBcv/y981A5BaGTqQSVCBMkwsnh1rNWVtNnhXYavJSu0KJD1OaVw==" saltValue="X+K5V3r8rrV7QOqPIGHs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BENAVENTE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0.61111111111111105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164</v>
      </c>
      <c r="AA12" s="551" t="str">
        <f>IF(ISNUMBER(IF(J_V="SI",Datos!L12,Datos!L12+Datos!AB12)-IF(Monitorios="SI",Datos!CD12,0)),
                          IF(J_V="SI",Datos!L12,Datos!L12+Datos!AB12)-IF(Monitorios="SI",Datos!CD12,0),
                          " - ")</f>
        <v xml:space="preserve"> - </v>
      </c>
      <c r="AB12" s="549"/>
      <c r="AC12" s="549"/>
      <c r="AD12" s="563"/>
      <c r="AE12" s="563">
        <f>IF(ISNUMBER(Datos!R12),Datos!R12," - ")</f>
        <v>1575</v>
      </c>
      <c r="AF12" s="693" t="str">
        <f>IF(ISNUMBER(Datos!BV12),Datos!BV12," - ")</f>
        <v xml:space="preserve"> - </v>
      </c>
      <c r="AG12" s="552" t="str">
        <f>IF(ISNUMBER(Datos!DV12),Datos!DV12," - ")</f>
        <v xml:space="preserve"> - </v>
      </c>
      <c r="AH12" s="553"/>
      <c r="AI12" s="554"/>
      <c r="AJ12" s="552">
        <f>IF(ISNUMBER(Datos!M12),Datos!M12," - ")</f>
        <v>216</v>
      </c>
      <c r="AK12" s="693">
        <f>IF(ISNUMBER(Datos!N12),Datos!N12," - ")</f>
        <v>249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12.942660550458715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4.8601864181091879E-2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237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164</v>
      </c>
      <c r="AA14" s="1199">
        <f t="shared" si="3"/>
        <v>1</v>
      </c>
      <c r="AB14" s="1199">
        <f t="shared" si="3"/>
        <v>0</v>
      </c>
      <c r="AC14" s="1199">
        <f t="shared" si="3"/>
        <v>0</v>
      </c>
      <c r="AD14" s="1199">
        <f t="shared" si="3"/>
        <v>0</v>
      </c>
      <c r="AE14" s="1199">
        <f t="shared" si="3"/>
        <v>1575</v>
      </c>
      <c r="AF14" s="1211">
        <f t="shared" si="3"/>
        <v>0</v>
      </c>
      <c r="AG14" s="1211">
        <f t="shared" si="3"/>
        <v>0</v>
      </c>
      <c r="AH14" s="1211">
        <f t="shared" si="3"/>
        <v>0</v>
      </c>
      <c r="AI14" s="1211">
        <f t="shared" si="3"/>
        <v>0</v>
      </c>
      <c r="AJ14" s="1211">
        <f t="shared" si="3"/>
        <v>220</v>
      </c>
      <c r="AK14" s="1211">
        <f t="shared" si="3"/>
        <v>249</v>
      </c>
      <c r="AL14" s="1211">
        <f t="shared" si="3"/>
        <v>0</v>
      </c>
      <c r="AM14" s="1211">
        <f t="shared" si="3"/>
        <v>0</v>
      </c>
      <c r="AN14" s="1211">
        <f t="shared" si="3"/>
        <v>0</v>
      </c>
      <c r="AO14" s="1203">
        <f>IF(ISNUMBER(((NºAsuntos!I14/NºAsuntos!G14)*11)/factor_trimestre),((NºAsuntos!I14/NºAsuntos!G14)*11)/factor_trimestre," - ")</f>
        <v>12.693258426966292</v>
      </c>
      <c r="AP14" s="1213" t="str">
        <f>IF(ISNUMBER(Datos!CI14/Datos!CJ14),Datos!CI14/Datos!CJ14," - ")</f>
        <v xml:space="preserve"> - </v>
      </c>
      <c r="AQ14" s="1236">
        <f t="shared" ref="AQ14:AV14" si="4">SUBTOTAL(9,AQ9:AQ13)</f>
        <v>0</v>
      </c>
      <c r="AR14" s="1236">
        <f t="shared" si="4"/>
        <v>4.8601864181091879E-2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542</v>
      </c>
      <c r="G17" s="552">
        <f>IF(ISNUMBER(IF(D_I="SI",Datos!I17,Datos!I17+Datos!AC17)),IF(D_I="SI",Datos!I17,Datos!I17+Datos!AC17)," - ")</f>
        <v>520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1143</v>
      </c>
      <c r="Z17" s="805">
        <f>IF(ISNUMBER(Datos!Q17),Datos!Q17," - ")</f>
        <v>59</v>
      </c>
      <c r="AA17" s="551">
        <f>IF(ISNUMBER(IF(D_I="SI",Datos!L17,Datos!L17+Datos!AF17)),IF(D_I="SI",Datos!L17,Datos!L17+Datos!AF17)," - ")</f>
        <v>702</v>
      </c>
      <c r="AB17" s="549"/>
      <c r="AC17" s="549"/>
      <c r="AD17" s="563"/>
      <c r="AE17" s="563">
        <f>IF(ISNUMBER(Datos!R17),Datos!R17," - ")</f>
        <v>78</v>
      </c>
      <c r="AF17" s="693" t="str">
        <f>IF(ISNUMBER(Datos!BV17),Datos!BV17," - ")</f>
        <v xml:space="preserve"> - </v>
      </c>
      <c r="AG17" s="552"/>
      <c r="AH17" s="553"/>
      <c r="AI17" s="554"/>
      <c r="AJ17" s="552">
        <f>IF(ISNUMBER(Datos!M17),Datos!M17," - ")</f>
        <v>210</v>
      </c>
      <c r="AK17" s="693">
        <f>IF(ISNUMBER(Datos!N17),Datos!N17," - ")</f>
        <v>748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6.7559055118110241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5.1206896551724137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542</v>
      </c>
      <c r="G23" s="1197">
        <f>SUBTOTAL(9,G16:G22)</f>
        <v>536</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1201</v>
      </c>
      <c r="Z23" s="1240">
        <f t="shared" si="6"/>
        <v>59</v>
      </c>
      <c r="AA23" s="1240">
        <f t="shared" si="6"/>
        <v>729</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214</v>
      </c>
      <c r="AK23" s="1240">
        <f t="shared" si="6"/>
        <v>795</v>
      </c>
      <c r="AL23" s="1240">
        <f t="shared" si="6"/>
        <v>0</v>
      </c>
      <c r="AM23" s="1240">
        <f t="shared" si="6"/>
        <v>0</v>
      </c>
      <c r="AN23" s="1240">
        <f t="shared" si="6"/>
        <v>0</v>
      </c>
      <c r="AO23" s="1242">
        <f>IF(ISNUMBER(((NºAsuntos!I23/NºAsuntos!G23)*11)/factor_trimestre),((NºAsuntos!I23/NºAsuntos!G23)*11)/factor_trimestre," - ")</f>
        <v>6.6769358867610329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554</v>
      </c>
      <c r="G31" s="1117">
        <f t="shared" si="12"/>
        <v>548</v>
      </c>
      <c r="H31" s="1118">
        <f t="shared" si="12"/>
        <v>0</v>
      </c>
      <c r="I31" s="1117">
        <f t="shared" si="12"/>
        <v>0</v>
      </c>
      <c r="J31" s="1119">
        <f t="shared" si="12"/>
        <v>0</v>
      </c>
      <c r="K31" s="1117">
        <f t="shared" si="12"/>
        <v>0</v>
      </c>
      <c r="L31" s="1120">
        <f t="shared" si="12"/>
        <v>0</v>
      </c>
      <c r="M31" s="1117">
        <f t="shared" si="12"/>
        <v>0</v>
      </c>
      <c r="N31" s="1118">
        <f t="shared" si="12"/>
        <v>291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1219</v>
      </c>
      <c r="Z31" s="1124">
        <f t="shared" si="13"/>
        <v>223</v>
      </c>
      <c r="AA31" s="1125">
        <f t="shared" si="13"/>
        <v>730</v>
      </c>
      <c r="AB31" s="1125">
        <f t="shared" si="13"/>
        <v>0</v>
      </c>
      <c r="AC31" s="1125">
        <f t="shared" si="13"/>
        <v>0</v>
      </c>
      <c r="AD31" s="1126">
        <f t="shared" si="13"/>
        <v>0</v>
      </c>
      <c r="AE31" s="1126">
        <f t="shared" si="13"/>
        <v>1653</v>
      </c>
      <c r="AF31" s="1127">
        <f t="shared" si="13"/>
        <v>0</v>
      </c>
      <c r="AG31" s="1128">
        <f t="shared" si="13"/>
        <v>0</v>
      </c>
      <c r="AH31" s="1129">
        <f t="shared" si="13"/>
        <v>0</v>
      </c>
      <c r="AI31" s="1127">
        <f t="shared" si="13"/>
        <v>0</v>
      </c>
      <c r="AJ31" s="1117">
        <f t="shared" si="13"/>
        <v>434</v>
      </c>
      <c r="AK31" s="1117">
        <f t="shared" si="13"/>
        <v>1044</v>
      </c>
      <c r="AL31" s="1117">
        <f t="shared" si="13"/>
        <v>0</v>
      </c>
      <c r="AM31" s="1130">
        <f t="shared" si="13"/>
        <v>0</v>
      </c>
      <c r="AN31" s="1120">
        <f>IF(ISNUMBER(Datos!K31/Datos!J31),Datos!K31/Datos!J31," - ")</f>
        <v>0.81649151172190781</v>
      </c>
      <c r="AO31" s="1120">
        <f>IF(ISNUMBER(FIND("06",Criterios!A8,1)),(IF(ISNUMBER(((Datos!R31/Datos!Q31)*11)/factor_trimestre),((Datos!R31/Datos!Q31)*11)/factor_trimestre," - ")),(IF(ISNUMBER(((Datos!L31/Datos!K31)*11)/factor_trimestre),((Datos!L31/Datos!K31)*11)/factor_trimestre," - ")))</f>
        <v>9.3772277227722771</v>
      </c>
      <c r="AP31" s="1131" t="str">
        <f>IF(ISNUMBER(Datos!CI31/Datos!CJ31),Datos!CI31/Datos!CJ31," - ")</f>
        <v xml:space="preserve"> - </v>
      </c>
      <c r="AQ31" s="1131">
        <f>IF(OR(ISNUMBER(FIND("01",Criterios!A8,1)),ISNUMBER(FIND("02",Criterios!A8,1)),ISNUMBER(FIND("03",Criterios!A8,1)),ISNUMBER(FIND("04",Criterios!A8,1))),(J31-Y31+K31)/(F31-K31),(I31-Y31+K31)/(F31-K31))</f>
        <v>-2.2003610108303251</v>
      </c>
      <c r="AR31" s="1131">
        <f>IF(ISNUMBER((Datos!P31-Datos!Q31+O31)/(Datos!R31-Datos!P31+Datos!Q31-O31)),(Datos!P31-Datos!Q31+O31)/(Datos!R31-Datos!P31+Datos!Q31-O31)," - ")</f>
        <v>4.2902208201892743E-2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276.84123006999278</v>
      </c>
      <c r="G33" s="674">
        <f>IF(ISNUMBER(STDEV(G8:G30)),STDEV(G8:G30),"-")</f>
        <v>253.84959926621718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113.89594248385548</v>
      </c>
      <c r="AK33" s="276"/>
      <c r="AL33" s="276">
        <f>IF(ISNUMBER(STDEV(AL8:AL30)),STDEV(AL8:AL30),"-")</f>
        <v>0</v>
      </c>
      <c r="AM33" s="278">
        <f>IF(ISNUMBER(STDEV(AM8:AM30)),STDEV(AM8:AM30),"-")</f>
        <v>0</v>
      </c>
      <c r="AN33" s="660">
        <f>IF(ISNUMBER(STDEV(AN8:AN30)),STDEV(AN8:AN30),"-")</f>
        <v>0</v>
      </c>
      <c r="AO33" s="661">
        <f>IF(ISNUMBER(STDEV(AO8:AO30)),STDEV(AO8:AO30),"-")</f>
        <v>4.7103052264037002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mX2jECuTjwRmujb7fvxU5Q4ZIgWYTDpwqmyluTsNnREC7PPpJLeaB/ka3dGyQxPZnQ2FhrGVZ0Zedi6Cun+5Rw==" saltValue="QKCQJdwkow6KwKBzaKoB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5Khybr+ZI+ptQp3+tei4YlrvdacT9gutMVe8TDK2n1Pykgahn3aQCsers2b9JfJnrgnVeQzP6ZeRxRoHpcqYw==" saltValue="JYDsEVU0yhYd7AuMnkp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ANsesslwXSLyOXncPbdmfdrYrksF7HUAZ/v35GAW1/WPQd6PoYplEVFxAKPkIin1uNqU2Ssm7MbpXh3FEDCZQ==" saltValue="thK3oGYq0BwJz3gMu6A31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BENAVENTE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0.24719101123595505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0.17479044029330387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c+f4KMCxXYxuLqIk85pJKInva0r1QmYu4Vu/zaB1q9jQhMQzpRQt0/PN8ocZDlUcd4gS965t5cLr+KYj+UkgAQ==" saltValue="w6P64EsM/6uaWvc6mHgK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G0g7LwOerJ8oxn+7Ho5uaVlbJhjpwlXsUKYfLRcWYj9YyWBzp2w1SxVMyPBQmZyaXWJrFmiRNgb2YplT18cQpQ==" saltValue="KtpjdSTiZIS4S+9RRkJa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BENAVENTE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7</v>
      </c>
      <c r="F10" s="452">
        <f>IF(ISNUMBER(E10/B10),E10/B10," - ")</f>
        <v>7</v>
      </c>
      <c r="G10" s="451">
        <f>IF(ISNUMBER(Datos!K10),Datos!K10," - ")</f>
        <v>18</v>
      </c>
      <c r="H10" s="452">
        <f>IF(ISNUMBER(G10/B10),G10/B10," - ")</f>
        <v>18</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757</v>
      </c>
      <c r="D12" s="452">
        <f>IF(ISNUMBER(C12/Datos!BH12),C12/Datos!BH12," - ")</f>
        <v>378.5</v>
      </c>
      <c r="E12" s="451">
        <f>IF(ISNUMBER(IF(J_V="SI",Datos!J12,Datos!J12+Datos!Z12)),IF(J_V="SI",Datos!J12,Datos!J12+Datos!Z12)," - ")</f>
        <v>1160</v>
      </c>
      <c r="F12" s="452">
        <f>IF(ISNUMBER(E12/B12),E12/B12," - ")</f>
        <v>580</v>
      </c>
      <c r="G12" s="451">
        <f>IF(ISNUMBER(IF(J_V="SI",Datos!K12,Datos!K12+Datos!AA12)),IF(J_V="SI",Datos!K12,Datos!K12+Datos!AA12)," - ")</f>
        <v>872</v>
      </c>
      <c r="H12" s="452">
        <f>IF(ISNUMBER(G12/B12),G12/B12," - ")</f>
        <v>436</v>
      </c>
      <c r="I12" s="451">
        <f>IF(ISNUMBER(IF(J_V="SI",Datos!L12,Datos!L12+Datos!AB12)),IF(J_V="SI",Datos!L12,Datos!L12+Datos!AB12)," - ")</f>
        <v>1026</v>
      </c>
      <c r="J12" s="452">
        <f>IF(ISNUMBER(I12/B12),I12/B12," - ")</f>
        <v>513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769</v>
      </c>
      <c r="D14" s="1147" t="str">
        <f>IF(ISNUMBER(C14/Datos!BI14),C14/Datos!BI14," - ")</f>
        <v xml:space="preserve"> - </v>
      </c>
      <c r="E14" s="1146">
        <f>SUBTOTAL(9,E8:E13)</f>
        <v>1167</v>
      </c>
      <c r="F14" s="1147">
        <f>IF(ISNUMBER(E14/B14),E14/B14," - ")</f>
        <v>583.5</v>
      </c>
      <c r="G14" s="1146">
        <f>SUBTOTAL(9,G8:G13)</f>
        <v>890</v>
      </c>
      <c r="H14" s="1147">
        <f>IF(ISNUMBER(G14/B14),G14/B14," - ")</f>
        <v>445</v>
      </c>
      <c r="I14" s="1146">
        <f>SUBTOTAL(9,I8:I13)</f>
        <v>1027</v>
      </c>
      <c r="J14" s="1147">
        <f>IF(ISNUMBER(I14/B14),I14/B14," - ")</f>
        <v>513.5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520</v>
      </c>
      <c r="D17" s="452">
        <f>IF(ISNUMBER(C17/Datos!BH17),C17/Datos!BH17," - ")</f>
        <v>260</v>
      </c>
      <c r="E17" s="451">
        <f>IF(ISNUMBER(IF(D_I="SI",Datos!J17,Datos!J17+Datos!AD17)),IF(D_I="SI",Datos!J17,Datos!J17+Datos!AD17)," - ")</f>
        <v>1303</v>
      </c>
      <c r="F17" s="452">
        <f>IF(ISNUMBER(E17/B17),E17/B17," - ")</f>
        <v>651.5</v>
      </c>
      <c r="G17" s="451">
        <f>IF(ISNUMBER(IF(D_I="SI",Datos!K17,Datos!K17+Datos!AE17)),IF(D_I="SI",Datos!K17,Datos!K17+Datos!AE17)," - ")</f>
        <v>1143</v>
      </c>
      <c r="H17" s="452">
        <f>IF(ISNUMBER(G17/B17),G17/B17," - ")</f>
        <v>571.5</v>
      </c>
      <c r="I17" s="451">
        <f>IF(ISNUMBER(IF(D_I="SI",Datos!L17,Datos!L17+Datos!AF17)),IF(D_I="SI",Datos!L17,Datos!L17+Datos!AF17)," - ")</f>
        <v>702</v>
      </c>
      <c r="J17" s="452">
        <f>IF(ISNUMBER(I17/B17),I17/B17," - ")</f>
        <v>351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69</v>
      </c>
      <c r="F18" s="452">
        <f>IF(ISNUMBER(E18/B18),E18/B18," - ")</f>
        <v>69</v>
      </c>
      <c r="G18" s="451">
        <f>IF(ISNUMBER(IF(D_I="SI",Datos!K18,Datos!K18+Datos!AE18)),IF(D_I="SI",Datos!K18,Datos!K18+Datos!AE18)," - ")</f>
        <v>58</v>
      </c>
      <c r="H18" s="452">
        <f>IF(ISNUMBER(G18/B18),G18/B18," - ")</f>
        <v>58</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536</v>
      </c>
      <c r="D23" s="1147" t="str">
        <f>IF(ISNUMBER(C23/Datos!BI23),C23/Datos!BI23," - ")</f>
        <v xml:space="preserve"> - </v>
      </c>
      <c r="E23" s="1146">
        <f>SUBTOTAL(9,E15:E22)</f>
        <v>1372</v>
      </c>
      <c r="F23" s="1147">
        <f>IF(ISNUMBER(E23/B23),E23/B23," - ")</f>
        <v>686</v>
      </c>
      <c r="G23" s="1146">
        <f>SUBTOTAL(9,G15:G22)</f>
        <v>1201</v>
      </c>
      <c r="H23" s="1147">
        <f>IF(ISNUMBER(G23/B23),G23/B23," - ")</f>
        <v>600.5</v>
      </c>
      <c r="I23" s="1146">
        <f>SUBTOTAL(9,I15:I22)</f>
        <v>729</v>
      </c>
      <c r="J23" s="1147">
        <f>IF(ISNUMBER(I23/B23),I23/B23," - ")</f>
        <v>364.5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1305</v>
      </c>
      <c r="D31" s="1085" t="str">
        <f>IF(ISNUMBER(C31/Datos!BI31),C31/Datos!BI31," - ")</f>
        <v xml:space="preserve"> - </v>
      </c>
      <c r="E31" s="1084">
        <f>SUBTOTAL(9,E9:E30)</f>
        <v>2539</v>
      </c>
      <c r="F31" s="1085">
        <f>IF(ISNUMBER(E31/B31),E31/B31," - ")</f>
        <v>1269.5</v>
      </c>
      <c r="G31" s="1084">
        <f>SUBTOTAL(9,G9:G30)</f>
        <v>2091</v>
      </c>
      <c r="H31" s="1085">
        <f>IF(ISNUMBER(G31/B31),G31/B31," - ")</f>
        <v>1045.5</v>
      </c>
      <c r="I31" s="1084">
        <f>SUBTOTAL(9,I9:I30)</f>
        <v>1756</v>
      </c>
      <c r="J31" s="1085">
        <f>IF(ISNUMBER(I31/B31),I31/B31," - ")</f>
        <v>878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xbtyqLK/M58GIGGPQTOyB3Zps4Q0ZHgPf1XRnLcVEAHKotdyNIr/Hev4aXJq+cgbqlnyK1/Q/a+3XKgnV8Z2qQ==" saltValue="mxfwbyKgSi5z6AtbyQwf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BENAVENTE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0.61111111111111105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216</v>
      </c>
      <c r="AM12" s="914">
        <f>IF(ISNUMBER(Datos!N12+DatosP!N17),Datos!N12+DatosP!N17," - ")</f>
        <v>249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12.942660550458715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4.8601864181091879E-2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237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164</v>
      </c>
      <c r="AE14" s="1257">
        <f t="shared" si="1"/>
        <v>0</v>
      </c>
      <c r="AF14" s="1257">
        <f t="shared" si="1"/>
        <v>1</v>
      </c>
      <c r="AG14" s="1257">
        <f t="shared" si="1"/>
        <v>0</v>
      </c>
      <c r="AH14" s="1257">
        <f t="shared" si="1"/>
        <v>1575</v>
      </c>
      <c r="AI14" s="1257">
        <f t="shared" si="1"/>
        <v>0</v>
      </c>
      <c r="AJ14" s="1257">
        <f t="shared" si="1"/>
        <v>0</v>
      </c>
      <c r="AK14" s="1257">
        <f t="shared" si="1"/>
        <v>0</v>
      </c>
      <c r="AL14" s="1257">
        <f t="shared" si="1"/>
        <v>220</v>
      </c>
      <c r="AM14" s="1257">
        <f t="shared" si="1"/>
        <v>249</v>
      </c>
      <c r="AN14" s="1257">
        <f t="shared" si="1"/>
        <v>0</v>
      </c>
      <c r="AO14" s="1257">
        <f t="shared" si="1"/>
        <v>0</v>
      </c>
      <c r="AP14" s="1262">
        <f>IF(ISNUMBER(((Datos!L14/Datos!K14)*11)/factor_trimestre),((Datos!L14/Datos!K14)*11)/factor_trimestre," - ")</f>
        <v>13.336996336996336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4.8601864181091879E-2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6.6769358867610329</v>
      </c>
      <c r="AQ23" s="1262">
        <f>IF(ISNUMBER(((Datos!M23/Datos!L23)*11)/factor_trimestre),((Datos!M23/Datos!L23)*11)/factor_trimestre," - ")</f>
        <v>3.2290809327846368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-6.0240963855421686E-2</v>
      </c>
      <c r="AW23" s="1265">
        <f>IF(ISNUMBER((Datos!Q23-Datos!R23)/(Datos!S23-Datos!Q23+Datos!R23)),(Datos!Q23-Datos!R23)/(Datos!S23-Datos!Q23+Datos!R23)," - ")</f>
        <v>-4.4083526682134569E-2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237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164</v>
      </c>
      <c r="AE31" s="1284">
        <f t="shared" si="9"/>
        <v>0</v>
      </c>
      <c r="AF31" s="1285">
        <f t="shared" si="9"/>
        <v>1</v>
      </c>
      <c r="AG31" s="1285">
        <f t="shared" si="9"/>
        <v>0</v>
      </c>
      <c r="AH31" s="1285">
        <f t="shared" si="9"/>
        <v>1575</v>
      </c>
      <c r="AI31" s="1285">
        <f t="shared" si="9"/>
        <v>0</v>
      </c>
      <c r="AJ31" s="1286">
        <f t="shared" si="9"/>
        <v>0</v>
      </c>
      <c r="AK31" s="1286">
        <f t="shared" si="9"/>
        <v>0</v>
      </c>
      <c r="AL31" s="1278">
        <f t="shared" si="9"/>
        <v>220</v>
      </c>
      <c r="AM31" s="1278">
        <f t="shared" si="9"/>
        <v>249</v>
      </c>
      <c r="AN31" s="1278">
        <f t="shared" si="9"/>
        <v>0</v>
      </c>
      <c r="AO31" s="1278">
        <f t="shared" si="9"/>
        <v>0</v>
      </c>
      <c r="AP31" s="1278">
        <f>IF(ISNUMBER(((Datos!L31/Datos!K31)*11)/factor_trimestre),((Datos!L31/Datos!K31)*11)/factor_trimestre," - ")</f>
        <v>9.3772277227722771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4.2902208201892743E-2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112.07616457867688</v>
      </c>
      <c r="AM33" s="1006"/>
      <c r="AN33" s="1006">
        <f>IF(ISNUMBER(STDEV(AN8:AN30)),STDEV(AN8:AN30),"-")</f>
        <v>0</v>
      </c>
      <c r="AO33" s="1012">
        <f>IF(ISNUMBER(STDEV(AO8:AO30)),STDEV(AO8:AO30),"-")</f>
        <v>0</v>
      </c>
      <c r="AP33" s="1065">
        <f>IF(ISNUMBER(STDEV(AP8:AP30)),STDEV(AP8:AP30),"-")</f>
        <v>6.0178948980032949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Eg2wko4aSme1bXi532qSrfGeCS1ionC4K6CsL6tEUv41tQfD/v7kumwdcg0qAiqOqaVffsVORgfzbqvp1ql2Cw==" saltValue="4dxH4j83odqJS69/QK02+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BENAVENTE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KbOktIRtN6eHwz29HclplljYQEhQB8llekEGB/EqgmFTtF1rJJTiBhgBW9+FRNBVm8DXZPDXxbWlhxnIWTgbDw==" saltValue="drr1Ez4ALfXW7OleNqj7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BENAVENTE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216</v>
      </c>
      <c r="E12" s="452">
        <f t="shared" si="0"/>
        <v>108</v>
      </c>
      <c r="F12" s="451">
        <f>IF(ISNUMBER(Datos!N12),Datos!N12," - ")</f>
        <v>249</v>
      </c>
      <c r="G12" s="452">
        <f t="shared" si="1"/>
        <v>124.5</v>
      </c>
      <c r="H12" s="451">
        <f>IF(ISNUMBER(Datos!O12),Datos!O12," - ")</f>
        <v>379</v>
      </c>
      <c r="I12" s="452">
        <f t="shared" si="2"/>
        <v>189.5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220</v>
      </c>
      <c r="E14" s="1147">
        <f t="shared" si="0"/>
        <v>73.333333333333329</v>
      </c>
      <c r="F14" s="1146">
        <f>SUBTOTAL(9,F9:F13)</f>
        <v>249</v>
      </c>
      <c r="G14" s="1147">
        <f t="shared" si="1"/>
        <v>83</v>
      </c>
      <c r="H14" s="1146">
        <f>SUBTOTAL(9,H9:H13)</f>
        <v>379</v>
      </c>
      <c r="I14" s="1147">
        <f>IF(ISNUMBER(H14/B14),H14/B14," - ")</f>
        <v>126.33333333333333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210</v>
      </c>
      <c r="E17" s="452">
        <f t="shared" si="3"/>
        <v>105</v>
      </c>
      <c r="F17" s="451">
        <f>IF(ISNUMBER(Datos!N17),Datos!N17," - ")</f>
        <v>748</v>
      </c>
      <c r="G17" s="452">
        <f t="shared" si="4"/>
        <v>374</v>
      </c>
      <c r="H17" s="451">
        <f>IF(ISNUMBER(Datos!O17),Datos!O17," - ")</f>
        <v>12</v>
      </c>
      <c r="I17" s="452">
        <f t="shared" si="5"/>
        <v>6</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214</v>
      </c>
      <c r="E23" s="1147">
        <f t="shared" si="3"/>
        <v>71.333333333333329</v>
      </c>
      <c r="F23" s="1146">
        <f>SUBTOTAL(9,F16:F22)</f>
        <v>795</v>
      </c>
      <c r="G23" s="1147">
        <f t="shared" si="4"/>
        <v>265</v>
      </c>
      <c r="H23" s="1146">
        <f>SUBTOTAL(9,H16:H22)</f>
        <v>12</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434</v>
      </c>
      <c r="E31" s="1085">
        <f>IF(ISNUMBER(D31/B31),D31/B31," - ")</f>
        <v>217</v>
      </c>
      <c r="F31" s="1084">
        <f>SUBTOTAL(9,F8:F30)</f>
        <v>1044</v>
      </c>
      <c r="G31" s="1085">
        <f>IF(ISNUMBER(F31/B31),F31/B31," - ")</f>
        <v>522</v>
      </c>
      <c r="H31" s="1084">
        <f>SUBTOTAL(9,H8:H30)</f>
        <v>391</v>
      </c>
      <c r="I31" s="1085">
        <f>IF(ISNUMBER(H31/B31),H31/B31," - ")</f>
        <v>195.5</v>
      </c>
    </row>
    <row r="34" spans="1:1">
      <c r="A34" s="439" t="str">
        <f>Criterios!A4</f>
        <v>Fecha Informe: 14 abr. 2023</v>
      </c>
    </row>
    <row r="39" spans="1:1">
      <c r="A39" s="462"/>
    </row>
  </sheetData>
  <sheetProtection algorithmName="SHA-512" hashValue="Y3AwYV2M7Nl5QhrtjSZsC2fIDmE2zGO+4G/lWHJhEVwm6cHjlpl6VnI6rAy+tXdmHVPpoziOozZGu18Q8Sximg==" saltValue="+VD7hcXkr1xjIIUOqK5b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BENAVENTE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237</v>
      </c>
      <c r="C12" s="489">
        <f>IF(ISNUMBER(Datos!Q12),Datos!Q12," - ")</f>
        <v>164</v>
      </c>
      <c r="D12" s="456">
        <f>IF(ISNUMBER(Datos!R12),Datos!R12," - ")</f>
        <v>1575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v>
      </c>
      <c r="C14" s="1150">
        <f>SUBTOTAL(9,C9:C13)</f>
        <v>164</v>
      </c>
      <c r="D14" s="1148">
        <f>SUBTOTAL(9,D9:D13)</f>
        <v>1575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54</v>
      </c>
      <c r="C17" s="489">
        <f>IF(ISNUMBER(Datos!Q17),Datos!Q17," - ")</f>
        <v>59</v>
      </c>
      <c r="D17" s="456">
        <f>IF(ISNUMBER(Datos!R17),Datos!R17," - ")</f>
        <v>78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59</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291</v>
      </c>
      <c r="C31" s="1089">
        <f>SUBTOTAL(9,C8:C30)</f>
        <v>223</v>
      </c>
      <c r="D31" s="1090">
        <f>SUBTOTAL(9,D8:D30)</f>
        <v>1653</v>
      </c>
    </row>
    <row r="32" spans="1:4" ht="7.5" customHeight="1"/>
    <row r="33" spans="1:1" ht="6" customHeight="1"/>
    <row r="34" spans="1:1">
      <c r="A34" s="439" t="str">
        <f>Criterios!A4</f>
        <v>Fecha Informe: 14 abr. 2023</v>
      </c>
    </row>
    <row r="39" spans="1:1">
      <c r="A39" s="462"/>
    </row>
  </sheetData>
  <sheetProtection algorithmName="SHA-512" hashValue="Tu8LGc8GJMWQfFri9DIUL9DT9F3UjPCHru7L89b8o7JIxWmx7QTEyP2ZeGGj7m/EM0kMGWGrdAnDUmNZB2tQ7w==" saltValue="LkLvKardgC9qvzwW583r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BENAVENTE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0.75</v>
      </c>
      <c r="D10" s="515" t="str">
        <f>IF(ISNUMBER((Datos!K10-Datos!U10)/Datos!U10),(Datos!K10-Datos!U10)/Datos!U10," - ")</f>
        <v xml:space="preserve"> - </v>
      </c>
      <c r="E10" s="515">
        <f>IF(ISNUMBER((Datos!L10-Datos!V10)/Datos!V10),(Datos!L10-Datos!V10)/Datos!V10," - ")</f>
        <v>-0.91666666666666663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5.8741258741258739E-2</v>
      </c>
      <c r="C12" s="515">
        <f>IF(ISNUMBER(
   IF(J_V="SI",(Datos!J12-Datos!T12)/Datos!T12,(Datos!J12+Datos!Z12-(Datos!T12+Datos!AH12))/(Datos!T12+Datos!AH12))
     ),IF(J_V="SI",(Datos!J12-Datos!T12)/Datos!T12,(Datos!J12+Datos!Z12-(Datos!T12+Datos!AH12))/(Datos!T12+Datos!AH12))," - ")</f>
        <v>0.12403100775193798</v>
      </c>
      <c r="D12" s="515">
        <f>IF(ISNUMBER(
   IF(J_V="SI",(Datos!K12-Datos!U12)/Datos!U12,(Datos!K12+Datos!AA12-(Datos!U12+Datos!AI12))/(Datos!U12+Datos!AI12))
     ),IF(J_V="SI",(Datos!K12-Datos!U12)/Datos!U12,(Datos!K12+Datos!AA12-(Datos!U12+Datos!AI12))/(Datos!U12+Datos!AI12))," - ")</f>
        <v>-9.355509355509356E-2</v>
      </c>
      <c r="E12" s="515">
        <f>IF(ISNUMBER(
   IF(J_V="SI",(Datos!L12-Datos!V12)/Datos!V12,(Datos!L12+Datos!AB12-(Datos!V12+Datos!AJ12))/(Datos!V12+Datos!AJ12))
     ),IF(J_V="SI",(Datos!L12-Datos!V12)/Datos!V12,(Datos!L12+Datos!AB12-(Datos!V12+Datos!AJ12))/(Datos!V12+Datos!AJ12))," - ")</f>
        <v>0.35535006605019814</v>
      </c>
      <c r="F12" s="515">
        <f>IF(ISNUMBER((Datos!M12-Datos!W12)/Datos!W12),(Datos!M12-Datos!W12)/Datos!W12," - ")</f>
        <v>-0.17241379310344829</v>
      </c>
      <c r="G12" s="516">
        <f>IF(ISNUMBER((Datos!N12-Datos!X12)/Datos!X12),(Datos!N12-Datos!X12)/Datos!X12," - ")</f>
        <v>-0.24085365853658536</v>
      </c>
      <c r="H12" s="514">
        <f>IF(ISNUMBER(((NºAsuntos!G12/NºAsuntos!E12)-Datos!BD12)/Datos!BD12),((NºAsuntos!G12/NºAsuntos!E12)-Datos!BD12)/Datos!BD12," - ")</f>
        <v>-0.19357660047315225</v>
      </c>
      <c r="I12" s="515">
        <f>IF(ISNUMBER(((NºAsuntos!I12/NºAsuntos!G12)-Datos!BE12)/Datos!BE12),((NºAsuntos!I12/NºAsuntos!G12)-Datos!BE12)/Datos!BE12," - ")</f>
        <v>0.4952371141517094</v>
      </c>
      <c r="J12" s="521">
        <f>IF(ISNUMBER((('Resol  Asuntos'!D12/NºAsuntos!G12)-Datos!BF12)/Datos!BF12),(('Resol  Asuntos'!D12/NºAsuntos!G12)-Datos!BF12)/Datos!BF12," - ")</f>
        <v>-0.27349518908033116</v>
      </c>
      <c r="K12" s="522">
        <f>IF(ISNUMBER((((NºAsuntos!C12+NºAsuntos!E12)/NºAsuntos!G12)-Datos!BG12)/Datos!BG12),(((NºAsuntos!C12+NºAsuntos!E12)/NºAsuntos!G12)-Datos!BG12)/Datos!BG12," - ")</f>
        <v>0.21056411252842355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6.3623789764868599E-2</v>
      </c>
      <c r="C14" s="1152">
        <f>IF(ISNUMBER(
   IF(J_V="SI",(Datos!J14-Datos!T14)/Datos!T14,(Datos!J14+Datos!Z14-(Datos!T14+Datos!AH14))/(Datos!T14+Datos!AH14))
     ),IF(J_V="SI",(Datos!J14-Datos!T14)/Datos!T14,(Datos!J14+Datos!Z14-(Datos!T14+Datos!AH14))/(Datos!T14+Datos!AH14))," - ")</f>
        <v>0.12644787644787644</v>
      </c>
      <c r="D14" s="1152">
        <f>IF(ISNUMBER(
   IF(J_V="SI",(Datos!K14-Datos!U14)/Datos!U14,(Datos!K14+Datos!AA14-(Datos!U14+Datos!AI14))/(Datos!U14+Datos!AI14))
     ),IF(J_V="SI",(Datos!K14-Datos!U14)/Datos!U14,(Datos!K14+Datos!AA14-(Datos!U14+Datos!AI14))/(Datos!U14+Datos!AI14))," - ")</f>
        <v>-7.4844074844074848E-2</v>
      </c>
      <c r="E14" s="1152">
        <f>IF(ISNUMBER(
   IF(J_V="SI",(Datos!L14-Datos!V14)/Datos!V14,(Datos!L14+Datos!AB14-(Datos!V14+Datos!AJ14))/(Datos!V14+Datos!AJ14))
     ),IF(J_V="SI",(Datos!L14-Datos!V14)/Datos!V14,(Datos!L14+Datos!AB14-(Datos!V14+Datos!AJ14))/(Datos!V14+Datos!AJ14))," - ")</f>
        <v>0.33550065019505854</v>
      </c>
      <c r="F14" s="1153">
        <f>IF(ISNUMBER((Datos!M14-Datos!W14)/Datos!W14),(Datos!M14-Datos!W14)/Datos!W14," - ")</f>
        <v>-0.15708812260536398</v>
      </c>
      <c r="G14" s="1154">
        <f>IF(ISNUMBER((Datos!N14-Datos!X14)/Datos!X14),(Datos!N14-Datos!X14)/Datos!X14," - ")</f>
        <v>-0.24085365853658536</v>
      </c>
      <c r="H14" s="1154">
        <f>IF(ISNUMBER(((NºAsuntos!G14/NºAsuntos!E14)-Datos!BD14)/Datos!BD14),((NºAsuntos!G14/NºAsuntos!E14)-Datos!BD14)/Datos!BD14," - ")</f>
        <v>-0.17869619669105538</v>
      </c>
      <c r="I14" s="1154">
        <f>IF(ISNUMBER(((NºAsuntos!I14/NºAsuntos!G14)-Datos!BE14)/Datos!BE14),((NºAsuntos!I14/NºAsuntos!G14)-Datos!BE14)/Datos!BE14," - ")</f>
        <v>0.44354115223331031</v>
      </c>
      <c r="J14" s="1154">
        <f>IF(ISNUMBER((('Resol  Asuntos'!D14/NºAsuntos!G14)-Datos!BF14)/Datos!BF14),(('Resol  Asuntos'!D14/NºAsuntos!G14)-Datos!BF14)/Datos!BF14," - ")</f>
        <v>-0.27500685119210749</v>
      </c>
      <c r="K14" s="1154">
        <f>IF(ISNUMBER((((NºAsuntos!C14+NºAsuntos!E14)/NºAsuntos!G14)-Datos!BG14)/Datos!BG14),(((NºAsuntos!C14+NºAsuntos!E14)/NºAsuntos!G14)-Datos!BG14)/Datos!BG14," - ")</f>
        <v>0.18966470990284312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0.41689373297002724</v>
      </c>
      <c r="C17" s="515">
        <f>IF(ISNUMBER(
   IF(D_I="SI",(Datos!J17-Datos!T17)/Datos!T17,(Datos!J17+Datos!AD17-(Datos!T17+Datos!AL17))/(Datos!T17+Datos!AL17))
     ),IF(D_I="SI",(Datos!J17-Datos!T17)/Datos!T17,(Datos!J17+Datos!AD17-(Datos!T17+Datos!AL17))/(Datos!T17+Datos!AL17))," - ")</f>
        <v>0.134029590948651</v>
      </c>
      <c r="D17" s="515">
        <f>IF(ISNUMBER(
   IF(D_I="SI",(Datos!K17-Datos!U17)/Datos!U17,(Datos!K17+Datos!AE17-(Datos!U17+Datos!AM17))/(Datos!U17+Datos!AM17))
     ),IF(D_I="SI",(Datos!K17-Datos!U17)/Datos!U17,(Datos!K17+Datos!AE17-(Datos!U17+Datos!AM17))/(Datos!U17+Datos!AM17))," - ")</f>
        <v>9.2734225621414909E-2</v>
      </c>
      <c r="E17" s="515">
        <f>IF(ISNUMBER(
   IF(D_I="SI",(Datos!L17-Datos!V17)/Datos!V17,(Datos!L17+Datos!AF17-(Datos!V17+Datos!AN17))/(Datos!V17+Datos!AN17))
     ),IF(D_I="SI",(Datos!L17-Datos!V17)/Datos!V17,(Datos!L17+Datos!AF17-(Datos!V17+Datos!AN17))/(Datos!V17+Datos!AN17))," - ")</f>
        <v>0.35</v>
      </c>
      <c r="F17" s="515">
        <f>IF(ISNUMBER((Datos!M17-Datos!W17)/Datos!W17),(Datos!M17-Datos!W17)/Datos!W17," - ")</f>
        <v>0.1111111111111111</v>
      </c>
      <c r="G17" s="516">
        <f>IF(ISNUMBER((Datos!N17-Datos!X17)/Datos!X17),(Datos!N17-Datos!X17)/Datos!X17," - ")</f>
        <v>0.35262206148282099</v>
      </c>
      <c r="H17" s="514">
        <f>IF(ISNUMBER(((NºAsuntos!G17/NºAsuntos!E17)-Datos!BD17)/Datos!BD17),((NºAsuntos!G17/NºAsuntos!E17)-Datos!BD17)/Datos!BD17," - ")</f>
        <v>-3.6414715856480706E-2</v>
      </c>
      <c r="I17" s="515">
        <f>IF(ISNUMBER(((NºAsuntos!I17/NºAsuntos!G17)-Datos!BE17)/Datos!BE17),((NºAsuntos!I17/NºAsuntos!G17)-Datos!BE17)/Datos!BE17," - ")</f>
        <v>0.23543307086614171</v>
      </c>
      <c r="J17" s="521">
        <f>IF(ISNUMBER((('Resol  Asuntos'!D17/NºAsuntos!G17)-Datos!BF17)/Datos!BF17),(('Resol  Asuntos'!D17/NºAsuntos!G17)-Datos!BF17)/Datos!BF17," - ")</f>
        <v>1.6817342276659819E-2</v>
      </c>
      <c r="K17" s="522">
        <f>IF(ISNUMBER((((NºAsuntos!C17+NºAsuntos!E17)/NºAsuntos!G17)-Datos!BG17)/Datos!BG17),(((NºAsuntos!C17+NºAsuntos!E17)/NºAsuntos!G17)-Datos!BG17)/Datos!BG17," - ")</f>
        <v>0.10045660519348007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-0.64444444444444449</v>
      </c>
      <c r="C18" s="515">
        <f>IF(ISNUMBER(
   IF(D_I="SI",(Datos!J18-Datos!T18)/Datos!T18,(Datos!J18+Datos!AD18-(Datos!T18+Datos!AL18))/(Datos!T18+Datos!AL18))
     ),IF(D_I="SI",(Datos!J18-Datos!T18)/Datos!T18,(Datos!J18+Datos!AD18-(Datos!T18+Datos!AL18))/(Datos!T18+Datos!AL18))," - ")</f>
        <v>-4.1666666666666664E-2</v>
      </c>
      <c r="D18" s="515">
        <f>IF(ISNUMBER(
   IF(D_I="SI",(Datos!K18-Datos!U18)/Datos!U18,(Datos!K18+Datos!AE18-(Datos!U18+Datos!AM18))/(Datos!U18+Datos!AM18))
     ),IF(D_I="SI",(Datos!K18-Datos!U18)/Datos!U18,(Datos!K18+Datos!AE18-(Datos!U18+Datos!AM18))/(Datos!U18+Datos!AM18))," - ")</f>
        <v>-0.42574257425742573</v>
      </c>
      <c r="E18" s="515">
        <f>IF(ISNUMBER(
   IF(D_I="SI",(Datos!L18-Datos!V18)/Datos!V18,(Datos!L18+Datos!AF18-(Datos!V18+Datos!AN18))/(Datos!V18+Datos!AN18))
     ),IF(D_I="SI",(Datos!L18-Datos!V18)/Datos!V18,(Datos!L18+Datos!AF18-(Datos!V18+Datos!AN18))/(Datos!V18+Datos!AN18))," - ")</f>
        <v>0.6875</v>
      </c>
      <c r="F18" s="515">
        <f>IF(ISNUMBER((Datos!M18-Datos!W18)/Datos!W18),(Datos!M18-Datos!W18)/Datos!W18," - ")</f>
        <v>-0.75</v>
      </c>
      <c r="G18" s="516">
        <f>IF(ISNUMBER((Datos!N18-Datos!X18)/Datos!X18),(Datos!N18-Datos!X18)/Datos!X18," - ")</f>
        <v>-0.42682926829268292</v>
      </c>
      <c r="H18" s="514">
        <f>IF(ISNUMBER(((NºAsuntos!G18/NºAsuntos!E18)-Datos!BD18)/Datos!BD18),((NºAsuntos!G18/NºAsuntos!E18)-Datos!BD18)/Datos!BD18," - ")</f>
        <v>-0.40077486009470509</v>
      </c>
      <c r="I18" s="515">
        <f>IF(ISNUMBER(((NºAsuntos!I18/NºAsuntos!G18)-Datos!BE18)/Datos!BE18),((NºAsuntos!I18/NºAsuntos!G18)-Datos!BE18)/Datos!BE18," - ")</f>
        <v>1.9385775862068966</v>
      </c>
      <c r="J18" s="521">
        <f>IF(ISNUMBER((('Resol  Asuntos'!D18/NºAsuntos!G18)-Datos!BF18)/Datos!BF18),(('Resol  Asuntos'!D18/NºAsuntos!G18)-Datos!BF18)/Datos!BF18," - ")</f>
        <v>-0.56465517241379315</v>
      </c>
      <c r="K18" s="522">
        <f>IF(ISNUMBER((((NºAsuntos!C18+NºAsuntos!E18)/NºAsuntos!G18)-Datos!BG18)/Datos!BG18),(((NºAsuntos!C18+NºAsuntos!E18)/NºAsuntos!G18)-Datos!BG18)/Datos!BG18," - ")</f>
        <v>0.26510462717359273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0.30097087378640774</v>
      </c>
      <c r="C23" s="1152">
        <f>IF(ISNUMBER(
   IF(Criterios!B14="SI",(Datos!J23-Datos!T23)/Datos!T23,(Datos!J23+Datos!AD23-(Datos!T23+Datos!AL23))/(Datos!T23+Datos!AL23))
     ),IF(Criterios!B14="SI",(Datos!J23-Datos!T23)/Datos!T23,(Datos!J23+Datos!AD23-(Datos!T23+Datos!AL23))/(Datos!T23+Datos!AL23))," - ")</f>
        <v>0.12366912366912367</v>
      </c>
      <c r="D23" s="1152">
        <f>IF(ISNUMBER(
   IF(Criterios!B14="SI",(Datos!K23-Datos!U23)/Datos!U23,(Datos!K23+Datos!AE23-(Datos!U23+Datos!AM23))/(Datos!U23+Datos!AM23))
     ),IF(Criterios!B14="SI",(Datos!K23-Datos!U23)/Datos!U23,(Datos!K23+Datos!AE23-(Datos!U23+Datos!AM23))/(Datos!U23+Datos!AM23))," - ")</f>
        <v>4.7079337401918046E-2</v>
      </c>
      <c r="E23" s="1152">
        <f>IF(ISNUMBER(
   IF(Criterios!B14="SI",(Datos!L23-Datos!V23)/Datos!V23,(Datos!L23+Datos!AF23-(Datos!V23+Datos!AN23))/(Datos!V23+Datos!AN23))
     ),IF(Criterios!B14="SI",(Datos!L23-Datos!V23)/Datos!V23,(Datos!L23+Datos!AF23-(Datos!V23+Datos!AN23))/(Datos!V23+Datos!AN23))," - ")</f>
        <v>0.36007462686567165</v>
      </c>
      <c r="F23" s="1153">
        <f>IF(ISNUMBER((Datos!M23-Datos!W23)/Datos!W23),(Datos!M23-Datos!W23)/Datos!W23," - ")</f>
        <v>4.3902439024390241E-2</v>
      </c>
      <c r="G23" s="1154">
        <f>IF(ISNUMBER((Datos!N23-Datos!X23)/Datos!X23),(Datos!N23-Datos!X23)/Datos!X23," - ")</f>
        <v>0.25196850393700787</v>
      </c>
      <c r="H23" s="1154">
        <f>IF(ISNUMBER(((NºAsuntos!G23/NºAsuntos!E23)-Datos!BD23)/Datos!BD23),((NºAsuntos!G23/NºAsuntos!E23)-Datos!BD23)/Datos!BD23," - ")</f>
        <v>-6.8160443901062767E-2</v>
      </c>
      <c r="I23" s="1154">
        <f>IF(ISNUMBER(((NºAsuntos!I23/NºAsuntos!G23)-Datos!BE23)/Datos!BE23),((NºAsuntos!I23/NºAsuntos!G23)-Datos!BE23)/Datos!BE23," - ")</f>
        <v>0.29892222898828097</v>
      </c>
      <c r="J23" s="1154">
        <f>IF(ISNUMBER((('Resol  Asuntos'!D23/NºAsuntos!G23)-Datos!BF23)/Datos!BF23),(('Resol  Asuntos'!D23/NºAsuntos!G23)-Datos!BF23)/Datos!BF23," - ")</f>
        <v>-3.0340569850326963E-3</v>
      </c>
      <c r="K23" s="1154">
        <f>IF(ISNUMBER((((NºAsuntos!C23+NºAsuntos!E23)/NºAsuntos!G23)-Datos!BG23)/Datos!BG23),(((NºAsuntos!C23+NºAsuntos!E23)/NºAsuntos!G23)-Datos!BG23)/Datos!BG23," - ")</f>
        <v>0.1158674160591832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0.14977973568281938</v>
      </c>
      <c r="C31" s="1092">
        <f>IF(ISNUMBER(
   IF(J_V="SI",(Datos!J31-Datos!T31)/Datos!T31,(Datos!J31+Datos!Z31-(Datos!T31+Datos!AH31))/(Datos!T31+Datos!AH31))
     ),IF(J_V="SI",(Datos!J31-Datos!T31)/Datos!T31,(Datos!J31+Datos!Z31-(Datos!T31+Datos!AH31))/(Datos!T31+Datos!AH31))," - ")</f>
        <v>0.12494461674789543</v>
      </c>
      <c r="D31" s="1092">
        <f>IF(ISNUMBER(
   IF(J_V="SI",(Datos!K31-Datos!U31)/Datos!U31,(Datos!K31+Datos!AA31-(Datos!U31+Datos!AI31))/(Datos!U31+Datos!AI31))
     ),IF(J_V="SI",(Datos!K31-Datos!U31)/Datos!U31,(Datos!K31+Datos!AA31-(Datos!U31+Datos!AI31))/(Datos!U31+Datos!AI31))," - ")</f>
        <v>-8.5348506401137988E-3</v>
      </c>
      <c r="E31" s="1092">
        <f>IF(ISNUMBER(
   IF(J_V="SI",(Datos!L31-Datos!V31)/Datos!V31,(Datos!L31+Datos!AB31-(Datos!V31+Datos!AJ31))/(Datos!V31+Datos!AJ31))
     ),IF(J_V="SI",(Datos!L31-Datos!V31)/Datos!V31,(Datos!L31+Datos!AB31-(Datos!V31+Datos!AJ31))/(Datos!V31+Datos!AJ31))," - ")</f>
        <v>0.34559386973180078</v>
      </c>
      <c r="F31" s="1093">
        <f>IF(ISNUMBER((Datos!M31-Datos!W31)/Datos!W31),(Datos!M31-Datos!W31)/Datos!W31," - ")</f>
        <v>-6.8669527896995708E-2</v>
      </c>
      <c r="G31" s="1094">
        <f>IF(ISNUMBER((Datos!N31-Datos!X31)/Datos!X31),(Datos!N31-Datos!X31)/Datos!X31," - ")</f>
        <v>8.4112149532710276E-2</v>
      </c>
      <c r="H31" s="1095">
        <f>IF(ISNUMBER((Tasas!B31-Datos!BD31)/Datos!BD31),(Tasas!B31-Datos!BD31)/Datos!BD31," - ")</f>
        <v>-0.11865425675255487</v>
      </c>
      <c r="I31" s="1096">
        <f>IF(ISNUMBER((Tasas!C31-Datos!BE31)/Datos!BE31),(Tasas!C31-Datos!BE31)/Datos!BE31," - ")</f>
        <v>0.35717717420581929</v>
      </c>
      <c r="J31" s="1097">
        <f>IF(ISNUMBER((Tasas!D31-Datos!BF31)/Datos!BF31),(Tasas!D31-Datos!BF31)/Datos!BF31," - ")</f>
        <v>-0.1787316857828109</v>
      </c>
      <c r="K31" s="1097">
        <f>IF(ISNUMBER((Tasas!E31-Datos!BG31)/Datos!BG31),(Tasas!E31-Datos!BG31)/Datos!BG31," - ")</f>
        <v>0.14301013778728236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fS/R7lJ5UM5HZWiWVXhBuocve9x6jmIAwe8slkk7mru2cYg9E+YDLLxxthQMQZUzUqrPFRfbltGGZsRVDa4Yg==" saltValue="mICjB+5niT6rE/HVkfd1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BENAVENTE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2.5714285714285716</v>
      </c>
      <c r="C10" s="498">
        <f>IF(ISNUMBER(NºAsuntos!I10/NºAsuntos!G10),NºAsuntos!I10/NºAsuntos!G10," - ")</f>
        <v>5.5555555555555552E-2</v>
      </c>
      <c r="D10" s="499">
        <f>IF(ISNUMBER('Resol  Asuntos'!D10/NºAsuntos!G10),'Resol  Asuntos'!D10/NºAsuntos!G10," - ")</f>
        <v>0.22222222222222221</v>
      </c>
      <c r="E10" s="500">
        <f>IF(ISNUMBER((NºAsuntos!C10+NºAsuntos!E10)/NºAsuntos!G10),(NºAsuntos!C10+NºAsuntos!E10)/NºAsuntos!G10," - ")</f>
        <v>1.0555555555555556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0.75172413793103443</v>
      </c>
      <c r="C12" s="498">
        <f>IF(ISNUMBER(NºAsuntos!I12/NºAsuntos!G12),NºAsuntos!I12/NºAsuntos!G12," - ")</f>
        <v>1.176605504587156</v>
      </c>
      <c r="D12" s="499">
        <f>IF(ISNUMBER('Resol  Asuntos'!D12/NºAsuntos!G12),'Resol  Asuntos'!D12/NºAsuntos!G12," - ")</f>
        <v>0.24770642201834864</v>
      </c>
      <c r="E12" s="500">
        <f>IF(ISNUMBER((NºAsuntos!C12+NºAsuntos!E12)/NºAsuntos!G12),(NºAsuntos!C12+NºAsuntos!E12)/NºAsuntos!G12," - ")</f>
        <v>2.198394495412844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0.76263924592973431</v>
      </c>
      <c r="C14" s="1156">
        <f>IF(ISNUMBER(NºAsuntos!I14/NºAsuntos!G14),NºAsuntos!I14/NºAsuntos!G14," - ")</f>
        <v>1.1539325842696628</v>
      </c>
      <c r="D14" s="1157">
        <f>IF(ISNUMBER('Resol  Asuntos'!D14/NºAsuntos!G14),'Resol  Asuntos'!D14/NºAsuntos!G14," - ")</f>
        <v>0.24719101123595505</v>
      </c>
      <c r="E14" s="1158">
        <f>IF(ISNUMBER((NºAsuntos!C14+NºAsuntos!E14)/NºAsuntos!G14),(NºAsuntos!C14+NºAsuntos!E14)/NºAsuntos!G14," - ")</f>
        <v>2.1752808988764043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0.87720644666155023</v>
      </c>
      <c r="C17" s="498">
        <f>IF(ISNUMBER(NºAsuntos!I17/NºAsuntos!G17),NºAsuntos!I17/NºAsuntos!G17," - ")</f>
        <v>0.61417322834645671</v>
      </c>
      <c r="D17" s="499">
        <f>IF(ISNUMBER('Resol  Asuntos'!D17/NºAsuntos!G17),'Resol  Asuntos'!D17/NºAsuntos!G17," - ")</f>
        <v>0.18372703412073491</v>
      </c>
      <c r="E17" s="500">
        <f>IF(ISNUMBER((NºAsuntos!C17+NºAsuntos!E17)/NºAsuntos!G17),(NºAsuntos!C17+NºAsuntos!E17)/NºAsuntos!G17," - ")</f>
        <v>1.594925634295713</v>
      </c>
      <c r="G17" s="523"/>
    </row>
    <row r="18" spans="1:7">
      <c r="A18" s="450" t="str">
        <f>Datos!A18</f>
        <v>Jdos. Violencia contra la mujer</v>
      </c>
      <c r="B18" s="497">
        <f>IF(ISNUMBER(NºAsuntos!G18/NºAsuntos!E18),NºAsuntos!G18/NºAsuntos!E18," - ")</f>
        <v>0.84057971014492749</v>
      </c>
      <c r="C18" s="498">
        <f>IF(ISNUMBER(NºAsuntos!I18/NºAsuntos!G18),NºAsuntos!I18/NºAsuntos!G18," - ")</f>
        <v>0.46551724137931033</v>
      </c>
      <c r="D18" s="499">
        <f>IF(ISNUMBER('Resol  Asuntos'!D18/NºAsuntos!G18),'Resol  Asuntos'!D18/NºAsuntos!G18," - ")</f>
        <v>6.8965517241379309E-2</v>
      </c>
      <c r="E18" s="500">
        <f>IF(ISNUMBER((NºAsuntos!C18+NºAsuntos!E18)/NºAsuntos!G18),(NºAsuntos!C18+NºAsuntos!E18)/NºAsuntos!G18," - ")</f>
        <v>1.4655172413793103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0.87536443148688048</v>
      </c>
      <c r="C23" s="1156">
        <f>IF(ISNUMBER(NºAsuntos!I23/NºAsuntos!G23),NºAsuntos!I23/NºAsuntos!G23," - ")</f>
        <v>0.60699417152373025</v>
      </c>
      <c r="D23" s="1159">
        <f>IF(ISNUMBER('Resol  Asuntos'!D23/NºAsuntos!G23),'Resol  Asuntos'!D23/NºAsuntos!G23," - ")</f>
        <v>0.17818484596169859</v>
      </c>
      <c r="E23" s="1158">
        <f>IF(ISNUMBER((NºAsuntos!C23+NºAsuntos!E23)/NºAsuntos!G23),(NºAsuntos!C23+NºAsuntos!E23)/NºAsuntos!G23," - ")</f>
        <v>1.588676103247294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0.82355257975580942</v>
      </c>
      <c r="C31" s="1099">
        <f>IF(ISNUMBER(NºAsuntos!I31/NºAsuntos!G31),NºAsuntos!I31/NºAsuntos!G31," - ")</f>
        <v>0.83978957436633195</v>
      </c>
      <c r="D31" s="1100">
        <f>IF(ISNUMBER('Resol  Asuntos'!D31/NºAsuntos!G31),'Resol  Asuntos'!D31/NºAsuntos!G31," - ")</f>
        <v>0.20755619320899091</v>
      </c>
      <c r="E31" s="1101">
        <f>IF(ISNUMBER((NºAsuntos!C31+NºAsuntos!E31)/NºAsuntos!G31),(NºAsuntos!C31+NºAsuntos!E31)/NºAsuntos!G31," - ")</f>
        <v>1.8383548541367767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wXVj5f1ioLMmKFs7+CNdkifCBbYSrLVP4W46a0pAmsMyRqpN/M2eLv8xQA9F+uIdUHzRgNPwHW1/9hF7ad4g==" saltValue="NZlpoLlx7ae5U+Cbrhc1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BENAVENTE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0</v>
      </c>
      <c r="Y10" s="374">
        <f t="shared" ref="Y10:Y13" si="0">SUM(W10:X10)</f>
        <v>18</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2.5714285714285716</v>
      </c>
      <c r="AM10" s="284">
        <f>IF(ISNUMBER(((NºAsuntos!I10/NºAsuntos!G10)*11)/factor_trimestre),((NºAsuntos!I10/NºAsuntos!G10)*11)/factor_trimestre," - ")</f>
        <v>0.61111111111111105</v>
      </c>
      <c r="AN10" s="267">
        <f>IF(ISNUMBER('Resol  Asuntos'!D10/NºAsuntos!G10),'Resol  Asuntos'!D10/NºAsuntos!G10," - ")</f>
        <v>0.22222222222222221</v>
      </c>
      <c r="AO10" s="268">
        <f>IF(ISNUMBER((NºAsuntos!C10+NºAsuntos!E10)/NºAsuntos!G10),(NºAsuntos!C10+NºAsuntos!E10)/NºAsuntos!G10," - ")</f>
        <v>1.0555555555555556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164</v>
      </c>
      <c r="Y12" s="374">
        <f t="shared" si="0"/>
        <v>164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216</v>
      </c>
      <c r="AJ12" s="243" t="str">
        <f>IF(ISNUMBER(Datos!BW12),Datos!BW12," - ")</f>
        <v xml:space="preserve"> - </v>
      </c>
      <c r="AK12" s="242" t="str">
        <f>IF(ISNUMBER(Datos!BX12),Datos!BX12," - ")</f>
        <v xml:space="preserve"> - </v>
      </c>
      <c r="AL12" s="266">
        <f>IF(ISNUMBER(NºAsuntos!G12/NºAsuntos!E12),NºAsuntos!G12/NºAsuntos!E12," - ")</f>
        <v>0.75172413793103443</v>
      </c>
      <c r="AM12" s="284">
        <f>IF(ISNUMBER(((NºAsuntos!I12/NºAsuntos!G12)*11)/factor_trimestre),((NºAsuntos!I12/NºAsuntos!G12)*11)/factor_trimestre," - ")</f>
        <v>12.942660550458715</v>
      </c>
      <c r="AN12" s="267">
        <f>IF(ISNUMBER('Resol  Asuntos'!D12/NºAsuntos!G12),'Resol  Asuntos'!D12/NºAsuntos!G12," - ")</f>
        <v>0.24770642201834864</v>
      </c>
      <c r="AO12" s="268">
        <f>IF(ISNUMBER((NºAsuntos!C12+NºAsuntos!E12)/NºAsuntos!G12),(NºAsuntos!C12+NºAsuntos!E12)/NºAsuntos!G12," - ")</f>
        <v>2.198394495412844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237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164</v>
      </c>
      <c r="Y14" s="1165">
        <f t="shared" si="6"/>
        <v>182</v>
      </c>
      <c r="Z14" s="1165">
        <f t="shared" si="6"/>
        <v>0</v>
      </c>
      <c r="AA14" s="1165">
        <f t="shared" si="6"/>
        <v>1</v>
      </c>
      <c r="AB14" s="1165">
        <f t="shared" si="6"/>
        <v>1575</v>
      </c>
      <c r="AC14" s="1165">
        <f t="shared" si="6"/>
        <v>1</v>
      </c>
      <c r="AD14" s="1165">
        <f t="shared" si="6"/>
        <v>0</v>
      </c>
      <c r="AE14" s="1169">
        <f t="shared" si="6"/>
        <v>0</v>
      </c>
      <c r="AF14" s="1162">
        <f t="shared" si="6"/>
        <v>0</v>
      </c>
      <c r="AG14" s="1170">
        <f t="shared" si="6"/>
        <v>0</v>
      </c>
      <c r="AH14" s="1167">
        <f t="shared" si="6"/>
        <v>0</v>
      </c>
      <c r="AI14" s="1162">
        <f t="shared" si="6"/>
        <v>220</v>
      </c>
      <c r="AJ14" s="1164">
        <f t="shared" si="6"/>
        <v>0</v>
      </c>
      <c r="AK14" s="1167">
        <f>SUBTOTAL(9,AK9:AK13)</f>
        <v>0</v>
      </c>
      <c r="AL14" s="1171">
        <f>IF(ISNUMBER(NºAsuntos!G14/NºAsuntos!E14),NºAsuntos!G14/NºAsuntos!E14," - ")</f>
        <v>0.76263924592973431</v>
      </c>
      <c r="AM14" s="1171">
        <f>IF(ISNUMBER(((NºAsuntos!I14/NºAsuntos!G14)*11)/factor_trimestre),((NºAsuntos!I14/NºAsuntos!G14)*11)/factor_trimestre," - ")</f>
        <v>12.693258426966292</v>
      </c>
      <c r="AN14" s="1172">
        <f>IF(ISNUMBER('Resol  Asuntos'!D14/NºAsuntos!G14),'Resol  Asuntos'!D14/NºAsuntos!G14," - ")</f>
        <v>0.24719101123595505</v>
      </c>
      <c r="AO14" s="1173">
        <f>IF(ISNUMBER((NºAsuntos!C14+NºAsuntos!E14)/NºAsuntos!G14),(NºAsuntos!C14+NºAsuntos!E14)/NºAsuntos!G14," - ")</f>
        <v>2.1752808988764043</v>
      </c>
      <c r="AP14" s="1174" t="str">
        <f t="shared" si="2"/>
        <v xml:space="preserve"> - </v>
      </c>
      <c r="AQ14" s="1174">
        <f>IF(ISNUMBER((H14-W14+K14)/(F14)),(H14-W14+K14)/(F14)," - ")</f>
        <v>-1.5</v>
      </c>
      <c r="AR14" s="1175">
        <f>IF(ISNUMBER((Datos!P14-Datos!Q14)/(Datos!R14-Datos!P14+Datos!Q14)),(Datos!P14-Datos!Q14)/(Datos!R14-Datos!P14+Datos!Q14)," - ")</f>
        <v>4.8601864181091879E-2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542</v>
      </c>
      <c r="G17" s="373">
        <f>IF(ISNUMBER(IF(D_I="SI",Datos!I17,Datos!I17+Datos!AC17)),IF(D_I="SI",Datos!I17,Datos!I17+Datos!AC17)," - ")</f>
        <v>520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1143</v>
      </c>
      <c r="X17" s="240">
        <f>IF(ISNUMBER(Datos!Q17),Datos!Q17," - ")</f>
        <v>59</v>
      </c>
      <c r="Y17" s="374">
        <f t="shared" ref="Y17:Y22" si="9">SUM(W17:X17)</f>
        <v>1202</v>
      </c>
      <c r="Z17" s="375" t="str">
        <f>IF(ISNUMBER(Datos!CC17),Datos!CC17," - ")</f>
        <v xml:space="preserve"> - </v>
      </c>
      <c r="AA17" s="372">
        <f>IF(ISNUMBER(IF(D_I="SI",Datos!L17,Datos!L17+Datos!AF17)),IF(D_I="SI",Datos!L17,Datos!L17+Datos!AF17)," - ")</f>
        <v>702</v>
      </c>
      <c r="AB17" s="374">
        <f>IF(ISNUMBER(Datos!R17),Datos!R17," - ")</f>
        <v>78</v>
      </c>
      <c r="AC17" s="374">
        <f t="shared" si="8"/>
        <v>780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210</v>
      </c>
      <c r="AJ17" s="245" t="str">
        <f>IF(ISNUMBER(Datos!BW17),Datos!BW17," - ")</f>
        <v xml:space="preserve"> - </v>
      </c>
      <c r="AK17" s="246" t="str">
        <f>IF(ISNUMBER(Datos!BX17),Datos!BX17," - ")</f>
        <v xml:space="preserve"> - </v>
      </c>
      <c r="AL17" s="266">
        <f>IF(ISNUMBER(NºAsuntos!G17/NºAsuntos!E17),NºAsuntos!G17/NºAsuntos!E17," - ")</f>
        <v>0.87720644666155023</v>
      </c>
      <c r="AM17" s="284">
        <f>IF(ISNUMBER(((NºAsuntos!I17/NºAsuntos!G17)*11)/factor_trimestre),((NºAsuntos!I17/NºAsuntos!G17)*11)/factor_trimestre," - ")</f>
        <v>6.7559055118110241</v>
      </c>
      <c r="AN17" s="267">
        <f>IF(ISNUMBER('Resol  Asuntos'!D17/NºAsuntos!G17),'Resol  Asuntos'!D17/NºAsuntos!G17," - ")</f>
        <v>0.18372703412073491</v>
      </c>
      <c r="AO17" s="268">
        <f>IF(ISNUMBER((NºAsuntos!C17+NºAsuntos!E17)/NºAsuntos!G17),(NºAsuntos!C17+NºAsuntos!E17)/NºAsuntos!G17," - ")</f>
        <v>1.594925634295713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0</v>
      </c>
      <c r="Y18" s="374">
        <f t="shared" si="9"/>
        <v>58</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0.84057971014492749</v>
      </c>
      <c r="AM18" s="284">
        <f>IF(ISNUMBER(((NºAsuntos!I18/NºAsuntos!G18)*11)/factor_trimestre),((NºAsuntos!I18/NºAsuntos!G18)*11)/factor_trimestre," - ")</f>
        <v>5.1206896551724137</v>
      </c>
      <c r="AN18" s="267">
        <f>IF(ISNUMBER('Resol  Asuntos'!D18/NºAsuntos!G18),'Resol  Asuntos'!D18/NºAsuntos!G18," - ")</f>
        <v>6.8965517241379309E-2</v>
      </c>
      <c r="AO18" s="268">
        <f>IF(ISNUMBER((NºAsuntos!C18+NºAsuntos!E18)/NºAsuntos!G18),(NºAsuntos!C18+NºAsuntos!E18)/NºAsuntos!G18," - ")</f>
        <v>1.4655172413793103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542</v>
      </c>
      <c r="G23" s="1163">
        <f>SUBTOTAL(9,G16:G22)</f>
        <v>536</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1201</v>
      </c>
      <c r="X23" s="1164">
        <f t="shared" si="14"/>
        <v>59</v>
      </c>
      <c r="Y23" s="1165">
        <f t="shared" si="14"/>
        <v>1260</v>
      </c>
      <c r="Z23" s="1165">
        <f t="shared" si="14"/>
        <v>0</v>
      </c>
      <c r="AA23" s="1165">
        <f t="shared" si="14"/>
        <v>729</v>
      </c>
      <c r="AB23" s="1165">
        <f t="shared" si="14"/>
        <v>78</v>
      </c>
      <c r="AC23" s="1165">
        <f t="shared" si="14"/>
        <v>807</v>
      </c>
      <c r="AD23" s="1165">
        <f t="shared" si="14"/>
        <v>0</v>
      </c>
      <c r="AE23" s="1169">
        <f t="shared" si="14"/>
        <v>0</v>
      </c>
      <c r="AF23" s="1162">
        <f t="shared" si="14"/>
        <v>0</v>
      </c>
      <c r="AG23" s="1170">
        <f t="shared" si="14"/>
        <v>0</v>
      </c>
      <c r="AH23" s="1167">
        <f t="shared" si="14"/>
        <v>0</v>
      </c>
      <c r="AI23" s="1162">
        <f t="shared" si="14"/>
        <v>214</v>
      </c>
      <c r="AJ23" s="1164">
        <f t="shared" si="14"/>
        <v>0</v>
      </c>
      <c r="AK23" s="1167">
        <f t="shared" si="14"/>
        <v>0</v>
      </c>
      <c r="AL23" s="1171">
        <f>IF(ISNUMBER(NºAsuntos!G23/NºAsuntos!E23),NºAsuntos!G23/NºAsuntos!E23," - ")</f>
        <v>0.87536443148688048</v>
      </c>
      <c r="AM23" s="1171">
        <f>IF(ISNUMBER(((NºAsuntos!I23/NºAsuntos!G23)*11)/factor_trimestre),((NºAsuntos!I23/NºAsuntos!G23)*11)/factor_trimestre," - ")</f>
        <v>6.6769358867610329</v>
      </c>
      <c r="AN23" s="1172">
        <f>IF(ISNUMBER('Resol  Asuntos'!D23/NºAsuntos!G23),'Resol  Asuntos'!D23/NºAsuntos!G23," - ")</f>
        <v>0.17818484596169859</v>
      </c>
      <c r="AO23" s="1173">
        <f>IF(ISNUMBER((NºAsuntos!C23+NºAsuntos!E23)/NºAsuntos!G23),(NºAsuntos!C23+NºAsuntos!E23)/NºAsuntos!G23," - ")</f>
        <v>1.588676103247294</v>
      </c>
      <c r="AP23" s="1174" t="str">
        <f t="shared" si="2"/>
        <v xml:space="preserve"> - </v>
      </c>
      <c r="AQ23" s="1174">
        <f>IF(ISNUMBER((H23-W23+K23)/(F23)),(H23-W23+K23)/(F23)," - ")</f>
        <v>-2.2158671586715868</v>
      </c>
      <c r="AR23" s="1175">
        <f>IF(ISNUMBER((Datos!P23-Datos!Q23)/(Datos!R23-Datos!P23+Datos!Q23)),(Datos!P23-Datos!Q23)/(Datos!R23-Datos!P23+Datos!Q23)," - ")</f>
        <v>-6.0240963855421686E-2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554</v>
      </c>
      <c r="G31" s="1118">
        <f t="shared" si="20"/>
        <v>548</v>
      </c>
      <c r="H31" s="1117">
        <f t="shared" si="20"/>
        <v>0</v>
      </c>
      <c r="I31" s="1119">
        <f t="shared" si="20"/>
        <v>0</v>
      </c>
      <c r="J31" s="1119">
        <f t="shared" si="20"/>
        <v>0</v>
      </c>
      <c r="K31" s="1180">
        <f t="shared" si="20"/>
        <v>0</v>
      </c>
      <c r="L31" s="1119">
        <f t="shared" si="20"/>
        <v>291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1219</v>
      </c>
      <c r="X31" s="1118">
        <f t="shared" si="21"/>
        <v>223</v>
      </c>
      <c r="Y31" s="1125">
        <f t="shared" si="21"/>
        <v>1442</v>
      </c>
      <c r="Z31" s="1125">
        <f t="shared" si="21"/>
        <v>0</v>
      </c>
      <c r="AA31" s="1125">
        <f t="shared" si="21"/>
        <v>730</v>
      </c>
      <c r="AB31" s="1125">
        <f t="shared" si="21"/>
        <v>1653</v>
      </c>
      <c r="AC31" s="1125">
        <f t="shared" si="21"/>
        <v>808</v>
      </c>
      <c r="AD31" s="1125">
        <f t="shared" si="21"/>
        <v>0</v>
      </c>
      <c r="AE31" s="1127">
        <f t="shared" si="21"/>
        <v>0</v>
      </c>
      <c r="AF31" s="1128">
        <f t="shared" si="21"/>
        <v>0</v>
      </c>
      <c r="AG31" s="1129">
        <f t="shared" si="21"/>
        <v>0</v>
      </c>
      <c r="AH31" s="1127">
        <f t="shared" si="21"/>
        <v>0</v>
      </c>
      <c r="AI31" s="1117">
        <f t="shared" si="21"/>
        <v>434</v>
      </c>
      <c r="AJ31" s="1117">
        <f t="shared" si="21"/>
        <v>0</v>
      </c>
      <c r="AK31" s="1127">
        <f t="shared" si="21"/>
        <v>0</v>
      </c>
      <c r="AL31" s="1183">
        <f>IF(ISNUMBER(NºAsuntos!G31/NºAsuntos!E31),NºAsuntos!G31/NºAsuntos!E31," - ")</f>
        <v>0.82355257975580942</v>
      </c>
      <c r="AM31" s="1184">
        <f>IF(ISNUMBER(((NºAsuntos!I31/NºAsuntos!G31)*11)/factor_trimestre),((NºAsuntos!I31/NºAsuntos!G31)*11)/factor_trimestre," - ")</f>
        <v>9.2376853180296514</v>
      </c>
      <c r="AN31" s="1184">
        <f>IF(ISNUMBER('Resol  Asuntos'!D31/NºAsuntos!G31),'Resol  Asuntos'!D31/NºAsuntos!G31," - ")</f>
        <v>0.20755619320899091</v>
      </c>
      <c r="AO31" s="1185">
        <f>IF(ISNUMBER((NºAsuntos!C31+NºAsuntos!E31)/NºAsuntos!G31),(NºAsuntos!C31+NºAsuntos!E31)/NºAsuntos!G31," - ")</f>
        <v>1.8383548541367767</v>
      </c>
      <c r="AP31" s="1186" t="str">
        <f t="shared" si="2"/>
        <v xml:space="preserve"> - </v>
      </c>
      <c r="AQ31" s="1187">
        <f>IF(OR(ISNUMBER(FIND("01",Criterios!A8,1)),ISNUMBER(FIND("02",Criterios!A8,1)),ISNUMBER(FIND("03",Criterios!A8,1)),ISNUMBER(FIND("04",Criterios!A8,1))),(I31-W31+K31)/(F31-K31),(H31-W31+K31)/(F31-K31))</f>
        <v>-2.2003610108303251</v>
      </c>
      <c r="AR31" s="1188">
        <f>IF(ISNUMBER((Datos!P31-Datos!Q31)/(Datos!R31-Datos!P31+Datos!Q31)),(Datos!P31-Datos!Q31)/(Datos!R31-Datos!P31+Datos!Q31)," - ")</f>
        <v>4.2902208201892743E-2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276.84123006999278</v>
      </c>
      <c r="G33" s="277">
        <f>IF(ISNUMBER(STDEV(G8:G30)),STDEV(G8:G30),"-")</f>
        <v>253.84959926621718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563.28521913435475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113.89594248385548</v>
      </c>
      <c r="AJ33" s="276">
        <f t="shared" si="25"/>
        <v>0</v>
      </c>
      <c r="AK33" s="278">
        <f t="shared" si="25"/>
        <v>0</v>
      </c>
      <c r="AL33" s="273">
        <f t="shared" si="25"/>
        <v>0.71645917314862495</v>
      </c>
      <c r="AM33" s="274">
        <f t="shared" si="25"/>
        <v>4.7103052264037002</v>
      </c>
      <c r="AN33" s="274">
        <f t="shared" si="25"/>
        <v>6.7017534551626096E-2</v>
      </c>
      <c r="AO33" s="275">
        <f t="shared" si="25"/>
        <v>0.43944214354978167</v>
      </c>
      <c r="AP33" s="317" t="str">
        <f t="shared" si="25"/>
        <v>-</v>
      </c>
      <c r="AQ33" s="318">
        <f t="shared" si="25"/>
        <v>0.50619452232542561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RVGQ/ip0qfiFP71rkv8RV0Err3+mndVq4vY/qBEABcBYXsGFzgHQqs1OKi4rmmjElVgrMRKp7i8p1O/53GPEA==" saltValue="GQldJs3chq+xpmo19lV+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BENAVENTE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0.75</v>
      </c>
      <c r="F10" s="393" t="str">
        <f>IF(ISNUMBER((Datos!K10-Datos!U10)/Datos!U10),(Datos!K10-Datos!U10)/Datos!U10," - ")</f>
        <v xml:space="preserve"> - </v>
      </c>
      <c r="G10" s="394">
        <f>IF(ISNUMBER((Datos!L10-Datos!V10)/Datos!V10),(Datos!L10-Datos!V10)/Datos!V10," - ")</f>
        <v>-0.91666666666666663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-0.17241379310344829</v>
      </c>
      <c r="I12" s="395">
        <f>IF(ISNUMBER((Tasas!C12-Datos!BE12)/Datos!BE12),(Tasas!C12-Datos!BE12)/Datos!BE12," - ")</f>
        <v>0.4952371141517094</v>
      </c>
      <c r="J12" s="394">
        <f>IF(ISNUMBER((Tasas!D12-Datos!BF12)/Datos!BF12),(Tasas!D12-Datos!BF12)/Datos!BF12," - ")</f>
        <v>-0.27349518908033116</v>
      </c>
      <c r="K12" s="396">
        <f>IF(ISNUMBER((Tasas!E12-Datos!BG12)/Datos!BG12),(Tasas!E12-Datos!BG12)/Datos!BG12," - ")</f>
        <v>0.21056411252842355</v>
      </c>
      <c r="M12" t="e">
        <f>IF(Monitorios="SI",Datos!CE12,0)</f>
        <v>#REF!</v>
      </c>
      <c r="N12" t="e">
        <f>IF(Monitorios="SI",Datos!CF12,0)</f>
        <v>#REF!</v>
      </c>
      <c r="O12" t="e">
        <f>IF(Monitorios="SI",Datos!CG12,0)</f>
        <v>#REF!</v>
      </c>
      <c r="P12" t="e">
        <f>IF(Monitorios="SI",Datos!CH12,0)</f>
        <v>#REF!</v>
      </c>
      <c r="Q12">
        <f>IF(J_V="SI",0,Datos!AG12)</f>
        <v>60</v>
      </c>
      <c r="R12">
        <f>IF(J_V="SI",0,Datos!AH12)</f>
        <v>142</v>
      </c>
      <c r="S12">
        <f>IF(J_V="SI",0,Datos!AI12)</f>
        <v>129</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-0.15708812260536398</v>
      </c>
      <c r="I14" s="402">
        <f>IF(ISNUMBER((Tasas!C14-Datos!BE14)/Datos!BE14),(Tasas!C14-Datos!BE14)/Datos!BE14," - ")</f>
        <v>0.44354115223331031</v>
      </c>
      <c r="J14" s="400">
        <f>IF(ISNUMBER((Tasas!D14-Datos!BF14)/Datos!BF14),(Tasas!D14-Datos!BF14)/Datos!BF14," - ")</f>
        <v>-0.27500685119210749</v>
      </c>
      <c r="K14" s="403">
        <f>IF(ISNUMBER((Tasas!E14-Datos!BG14)/Datos!BG14),(Tasas!E14-Datos!BG14)/Datos!BG14," - ")</f>
        <v>0.18966470990284312</v>
      </c>
      <c r="M14" t="e">
        <f>IF(Monitorios="SI",Datos!CE14,0)</f>
        <v>#REF!</v>
      </c>
      <c r="N14" t="e">
        <f>IF(Monitorios="SI",Datos!CF14,0)</f>
        <v>#REF!</v>
      </c>
      <c r="O14" t="e">
        <f>IF(Monitorios="SI",Datos!CG14,0)</f>
        <v>#REF!</v>
      </c>
      <c r="P14" t="e">
        <f>IF(Monitorios="SI",Datos!CH14,0)</f>
        <v>#REF!</v>
      </c>
      <c r="Q14">
        <f>IF(J_V="SI",0,Datos!AG14)</f>
        <v>60</v>
      </c>
      <c r="R14">
        <f>IF(J_V="SI",0,Datos!AH14)</f>
        <v>142</v>
      </c>
      <c r="S14">
        <f>IF(J_V="SI",0,Datos!AI14)</f>
        <v>129</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0.41689373297002724</v>
      </c>
      <c r="E17" s="393">
        <f>IF(ISNUMBER(
   IF(D_I="SI",(Datos!J17-Datos!T17)/Datos!T17,(Datos!J17+Datos!AD17-(Datos!T17+Datos!AL17))/(Datos!T17+Datos!AL17))
     ),IF(D_I="SI",(Datos!J17-Datos!T17)/Datos!T17,(Datos!J17+Datos!AD17-(Datos!T17+Datos!AL17))/(Datos!T17+Datos!AL17))," - ")</f>
        <v>0.134029590948651</v>
      </c>
      <c r="F17" s="393">
        <f>IF(ISNUMBER(
   IF(D_I="SI",(Datos!K17-Datos!U17)/Datos!U17,(Datos!K17+Datos!AE17-(Datos!U17+Datos!AM17))/(Datos!U17+Datos!AM17))
     ),IF(D_I="SI",(Datos!K17-Datos!U17)/Datos!U17,(Datos!K17+Datos!AE17-(Datos!U17+Datos!AM17))/(Datos!U17+Datos!AM17))," - ")</f>
        <v>9.2734225621414909E-2</v>
      </c>
      <c r="G17" s="394">
        <f>IF(ISNUMBER(
   IF(D_I="SI",(Datos!L17-Datos!V17)/Datos!V17,(Datos!L17+Datos!AF17-(Datos!V17+Datos!AN17))/(Datos!V17+Datos!AN17))
     ),IF(D_I="SI",(Datos!L17-Datos!V17)/Datos!V17,(Datos!L17+Datos!AF17-(Datos!V17+Datos!AN17))/(Datos!V17+Datos!AN17))," - ")</f>
        <v>0.35</v>
      </c>
      <c r="H17" s="244">
        <f>IF(ISNUMBER((Datos!M17-Datos!W17)/Datos!W17),(Datos!M17-Datos!W17)/Datos!W17," - ")</f>
        <v>0.1111111111111111</v>
      </c>
      <c r="I17" s="395">
        <f>IF(ISNUMBER((Tasas!C17-Datos!BE17)/Datos!BE17),(Tasas!C17-Datos!BE17)/Datos!BE17," - ")</f>
        <v>0.23543307086614171</v>
      </c>
      <c r="J17" s="394">
        <f>IF(ISNUMBER((Tasas!D17-Datos!BF17)/Datos!BF17),(Tasas!D17-Datos!BF17)/Datos!BF17," - ")</f>
        <v>1.6817342276659819E-2</v>
      </c>
      <c r="K17" s="396">
        <f>IF(ISNUMBER((Tasas!E17-Datos!BG17)/Datos!BG17),(Tasas!E17-Datos!BG17)/Datos!BG17," - ")</f>
        <v>0.10045660519348007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-0.64444444444444449</v>
      </c>
      <c r="E18" s="393">
        <f>IF(ISNUMBER(
   IF(D_I="SI",(Datos!J18-Datos!T18)/Datos!T18,(Datos!J18+Datos!AD18-(Datos!T18+Datos!AL18))/(Datos!T18+Datos!AL18))
     ),IF(D_I="SI",(Datos!J18-Datos!T18)/Datos!T18,(Datos!J18+Datos!AD18-(Datos!T18+Datos!AL18))/(Datos!T18+Datos!AL18))," - ")</f>
        <v>-4.1666666666666664E-2</v>
      </c>
      <c r="F18" s="393">
        <f>IF(ISNUMBER(
   IF(D_I="SI",(Datos!K18-Datos!U18)/Datos!U18,(Datos!K18+Datos!AE18-(Datos!U18+Datos!AM18))/(Datos!U18+Datos!AM18))
     ),IF(D_I="SI",(Datos!K18-Datos!U18)/Datos!U18,(Datos!K18+Datos!AE18-(Datos!U18+Datos!AM18))/(Datos!U18+Datos!AM18))," - ")</f>
        <v>-0.42574257425742573</v>
      </c>
      <c r="G18" s="394">
        <f>IF(ISNUMBER(
   IF(D_I="SI",(Datos!L18-Datos!V18)/Datos!V18,(Datos!L18+Datos!AF18-(Datos!V18+Datos!AN18))/(Datos!V18+Datos!AN18))
     ),IF(D_I="SI",(Datos!L18-Datos!V18)/Datos!V18,(Datos!L18+Datos!AF18-(Datos!V18+Datos!AN18))/(Datos!V18+Datos!AN18))," - ")</f>
        <v>0.6875</v>
      </c>
      <c r="H18" s="244">
        <f>IF(ISNUMBER((Datos!M18-Datos!W18)/Datos!W18),(Datos!M18-Datos!W18)/Datos!W18," - ")</f>
        <v>-0.75</v>
      </c>
      <c r="I18" s="395">
        <f>IF(ISNUMBER((Tasas!C18-Datos!BE18)/Datos!BE18),(Tasas!C18-Datos!BE18)/Datos!BE18," - ")</f>
        <v>1.9385775862068966</v>
      </c>
      <c r="J18" s="394">
        <f>IF(ISNUMBER((Tasas!D18-Datos!BF18)/Datos!BF18),(Tasas!D18-Datos!BF18)/Datos!BF18," - ")</f>
        <v>-0.56465517241379315</v>
      </c>
      <c r="K18" s="396">
        <f>IF(ISNUMBER((Tasas!E18-Datos!BG18)/Datos!BG18),(Tasas!E18-Datos!BG18)/Datos!BG18," - ")</f>
        <v>0.26510462717359273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0.30097087378640774</v>
      </c>
      <c r="E23" s="399">
        <f>IF(ISNUMBER(
   IF(D_I="SI",(Datos!J23-Datos!T23)/Datos!T23,(Datos!J23+Datos!AD23-(Datos!T23+Datos!AL23))/(Datos!T23+Datos!AL23))
     ),IF(D_I="SI",(Datos!J23-Datos!T23)/Datos!T23,(Datos!J23+Datos!AD23-(Datos!T23+Datos!AL23))/(Datos!T23+Datos!AL23))," - ")</f>
        <v>0.12366912366912367</v>
      </c>
      <c r="F23" s="399">
        <f>IF(ISNUMBER(
   IF(D_I="SI",(Datos!K23-Datos!U23)/Datos!U23,(Datos!K23+Datos!AE23-(Datos!U23+Datos!AM23))/(Datos!U23+Datos!AM23))
     ),IF(D_I="SI",(Datos!K23-Datos!U23)/Datos!U23,(Datos!K23+Datos!AE23-(Datos!U23+Datos!AM23))/(Datos!U23+Datos!AM23))," - ")</f>
        <v>4.7079337401918046E-2</v>
      </c>
      <c r="G23" s="400">
        <f>IF(ISNUMBER(
   IF(D_I="SI",(Datos!L23-Datos!V23)/Datos!V23,(Datos!L23+Datos!AF23-(Datos!V23+Datos!AN23))/(Datos!V23+Datos!AN23))
     ),IF(D_I="SI",(Datos!L23-Datos!V23)/Datos!V23,(Datos!L23+Datos!AF23-(Datos!V23+Datos!AN23))/(Datos!V23+Datos!AN23))," - ")</f>
        <v>0.36007462686567165</v>
      </c>
      <c r="H23" s="401">
        <f>IF(ISNUMBER((Datos!M23-Datos!W23)/Datos!W23),(Datos!M23-Datos!W23)/Datos!W23," - ")</f>
        <v>4.3902439024390241E-2</v>
      </c>
      <c r="I23" s="402">
        <f>IF(ISNUMBER((Tasas!C23-Datos!BE23)/Datos!BE23),(Tasas!C23-Datos!BE23)/Datos!BE23," - ")</f>
        <v>0.29892222898828097</v>
      </c>
      <c r="J23" s="400">
        <f>IF(ISNUMBER((Tasas!D23-Datos!BF23)/Datos!BF23),(Tasas!D23-Datos!BF23)/Datos!BF23," - ")</f>
        <v>-3.0340569850326963E-3</v>
      </c>
      <c r="K23" s="403">
        <f>IF(ISNUMBER((Tasas!E23-Datos!BG23)/Datos!BG23),(Tasas!E23-Datos!BG23)/Datos!BG23," - ")</f>
        <v>0.1158674160591832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0.14977973568281938</v>
      </c>
      <c r="E31" s="409">
        <f>IF(ISNUMBER(
   IF(J_V="SI",(Datos!J31-Datos!T31)/Datos!T31,(Datos!J31+Datos!Z31-(Datos!T31+Datos!AH31))/(Datos!T31+Datos!AH31))
     ),IF(J_V="SI",(Datos!J31-Datos!T31)/Datos!T31,(Datos!J31+Datos!Z31-(Datos!T31+Datos!AH31))/(Datos!T31+Datos!AH31))," - ")</f>
        <v>0.12494461674789543</v>
      </c>
      <c r="F31" s="409">
        <f>IF(ISNUMBER(
   IF(J_V="SI",(Datos!K31-Datos!U31)/Datos!U31,(Datos!K31+Datos!AA31-(Datos!U31+Datos!AI31))/(Datos!U31+Datos!AI31))
     ),IF(J_V="SI",(Datos!K31-Datos!U31)/Datos!U31,(Datos!K31+Datos!AA31-(Datos!U31+Datos!AI31))/(Datos!U31+Datos!AI31))," - ")</f>
        <v>-8.5348506401137988E-3</v>
      </c>
      <c r="G31" s="410">
        <f>IF(ISNUMBER(
   IF(J_V="SI",(Datos!L31-Datos!V31)/Datos!V31,(Datos!L31+Datos!AB31-(Datos!V31+Datos!AJ31))/(Datos!V31+Datos!AJ31))
     ),IF(J_V="SI",(Datos!L31-Datos!V31)/Datos!V31,(Datos!L31+Datos!AB31-(Datos!V31+Datos!AJ31))/(Datos!V31+Datos!AJ31))," - ")</f>
        <v>0.34559386973180078</v>
      </c>
      <c r="H31" s="411">
        <f>IF(ISNUMBER((Datos!M31-Datos!W31)/Datos!W31),(Datos!M31-Datos!W31)/Datos!W31," - ")</f>
        <v>-6.8669527896995708E-2</v>
      </c>
      <c r="I31" s="408">
        <f>IF(ISNUMBER((Tasas!C31-Datos!BE31)/Datos!BE31),(Tasas!C31-Datos!BE31)/Datos!BE31," - ")</f>
        <v>0.35717717420581929</v>
      </c>
      <c r="J31" s="409">
        <f>IF(ISNUMBER((Tasas!D31-Datos!BF31)/Datos!BF31),(Tasas!D31-Datos!BF31)/Datos!BF31," - ")</f>
        <v>-0.1787316857828109</v>
      </c>
      <c r="K31" s="410">
        <f>IF(ISNUMBER((Tasas!E31-Datos!BG31)/Datos!BG31),(Tasas!E31-Datos!BG31)/Datos!BG31," - ")</f>
        <v>0.14301013778728236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0.53150409932450804</v>
      </c>
      <c r="E33" s="303">
        <f t="shared" si="1"/>
        <v>0.3484200602208537</v>
      </c>
      <c r="F33" s="303">
        <f t="shared" si="1"/>
        <v>0.28707232566496038</v>
      </c>
      <c r="G33" s="304">
        <f t="shared" si="1"/>
        <v>0.70881818264501339</v>
      </c>
      <c r="H33" s="310">
        <f t="shared" si="1"/>
        <v>0.33920515542387847</v>
      </c>
      <c r="I33" s="302">
        <f t="shared" si="1"/>
        <v>0.71008806548852843</v>
      </c>
      <c r="J33" s="303">
        <f t="shared" si="1"/>
        <v>0.23865837113034907</v>
      </c>
      <c r="K33" s="304">
        <f t="shared" si="1"/>
        <v>6.8270087636745691E-2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7KIAIqCKVHDa7kLFAkKPrDAwkvS5zvbdwOvgbkVeTx3nNZSS+AsXrOwCe20MxNaHuF6DerI/pTxTPgQ3IFxew==" saltValue="KWIHBeOGF52vjNfLNv6+q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